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30" windowWidth="15480" windowHeight="9240" activeTab="2"/>
  </bookViews>
  <sheets>
    <sheet name="EJERCICIO 1" sheetId="1" r:id="rId1"/>
    <sheet name="EJERCICIO 2" sheetId="2" r:id="rId2"/>
    <sheet name="EJERCICIO 3" sheetId="3" r:id="rId3"/>
  </sheets>
  <definedNames>
    <definedName name="_xlnm.Print_Area" localSheetId="0">'EJERCICIO 1'!$1:$31986</definedName>
  </definedNames>
  <calcPr calcId="145621"/>
  <fileRecoveryPr repairLoad="1"/>
</workbook>
</file>

<file path=xl/calcChain.xml><?xml version="1.0" encoding="utf-8"?>
<calcChain xmlns="http://schemas.openxmlformats.org/spreadsheetml/2006/main">
  <c r="Q6" i="2" l="1"/>
  <c r="P7" i="3"/>
  <c r="P8" i="3"/>
  <c r="P6" i="3"/>
  <c r="K20" i="3" s="1"/>
  <c r="L7" i="3"/>
  <c r="L8" i="3"/>
  <c r="L6" i="3"/>
  <c r="N6" i="3"/>
  <c r="H7" i="3"/>
  <c r="I7" i="3" s="1"/>
  <c r="H8" i="3"/>
  <c r="H9" i="3"/>
  <c r="H6" i="3"/>
  <c r="J7" i="3"/>
  <c r="K7" i="3" s="1"/>
  <c r="J8" i="3"/>
  <c r="K8" i="3" s="1"/>
  <c r="M8" i="3" s="1"/>
  <c r="J6" i="3"/>
  <c r="K6" i="3" s="1"/>
  <c r="I8" i="3"/>
  <c r="I6" i="3"/>
  <c r="F18" i="3" s="1"/>
  <c r="G7" i="3"/>
  <c r="G8" i="3"/>
  <c r="G6" i="3"/>
  <c r="G9" i="3"/>
  <c r="F7" i="3"/>
  <c r="F8" i="3"/>
  <c r="F6" i="3"/>
  <c r="F12" i="3"/>
  <c r="Q8" i="2"/>
  <c r="Q7" i="2"/>
  <c r="P7" i="2"/>
  <c r="P8" i="2"/>
  <c r="P6" i="2"/>
  <c r="P9" i="2"/>
  <c r="O7" i="2"/>
  <c r="O8" i="2"/>
  <c r="N6" i="2"/>
  <c r="F7" i="2"/>
  <c r="F8" i="2"/>
  <c r="F6" i="2"/>
  <c r="F12" i="2" s="1"/>
  <c r="F6" i="1"/>
  <c r="F7" i="1"/>
  <c r="F8" i="1"/>
  <c r="F9" i="3"/>
  <c r="O20" i="3"/>
  <c r="L9" i="3"/>
  <c r="J9" i="3"/>
  <c r="F14" i="3"/>
  <c r="F21" i="3" s="1"/>
  <c r="F9" i="1"/>
  <c r="L20" i="1"/>
  <c r="K7" i="2"/>
  <c r="L7" i="2" s="1"/>
  <c r="K6" i="2"/>
  <c r="J7" i="2"/>
  <c r="J8" i="2"/>
  <c r="K8" i="2" s="1"/>
  <c r="J6" i="2"/>
  <c r="J9" i="2" s="1"/>
  <c r="I8" i="2"/>
  <c r="I6" i="2"/>
  <c r="H8" i="2"/>
  <c r="H7" i="2"/>
  <c r="I7" i="2"/>
  <c r="H6" i="2"/>
  <c r="H9" i="2"/>
  <c r="G7" i="2"/>
  <c r="G8" i="2"/>
  <c r="G6" i="2"/>
  <c r="F9" i="2" s="1"/>
  <c r="Q7" i="1"/>
  <c r="Q8" i="1"/>
  <c r="Q6" i="1"/>
  <c r="K6" i="1"/>
  <c r="K7" i="1"/>
  <c r="J6" i="1"/>
  <c r="J7" i="1"/>
  <c r="J8" i="1"/>
  <c r="K8" i="1"/>
  <c r="P7" i="1"/>
  <c r="P8" i="1"/>
  <c r="P6" i="1"/>
  <c r="P9" i="1"/>
  <c r="N6" i="1"/>
  <c r="L8" i="1"/>
  <c r="L6" i="1"/>
  <c r="I8" i="1"/>
  <c r="I6" i="1"/>
  <c r="H7" i="1"/>
  <c r="I7" i="1"/>
  <c r="E16" i="1" s="1"/>
  <c r="E21" i="1" s="1"/>
  <c r="H8" i="1"/>
  <c r="H6" i="1"/>
  <c r="H9" i="1"/>
  <c r="G7" i="1"/>
  <c r="G8" i="1"/>
  <c r="G6" i="1"/>
  <c r="G9" i="1" s="1"/>
  <c r="J9" i="1"/>
  <c r="M6" i="1"/>
  <c r="L7" i="1"/>
  <c r="E14" i="1"/>
  <c r="I9" i="1"/>
  <c r="M8" i="1"/>
  <c r="I20" i="1"/>
  <c r="Q9" i="1"/>
  <c r="L20" i="2"/>
  <c r="G9" i="2"/>
  <c r="O20" i="2" s="1"/>
  <c r="O6" i="1"/>
  <c r="R6" i="1" s="1"/>
  <c r="L9" i="1"/>
  <c r="K9" i="1"/>
  <c r="E18" i="1"/>
  <c r="I9" i="2"/>
  <c r="L6" i="2"/>
  <c r="E12" i="1"/>
  <c r="M7" i="1"/>
  <c r="S7" i="1" s="1"/>
  <c r="F16" i="2"/>
  <c r="P9" i="3"/>
  <c r="Q9" i="2"/>
  <c r="O7" i="1"/>
  <c r="N7" i="1"/>
  <c r="M9" i="1"/>
  <c r="N8" i="1"/>
  <c r="R8" i="1" s="1"/>
  <c r="O8" i="1"/>
  <c r="I16" i="1" s="1"/>
  <c r="O9" i="1"/>
  <c r="M6" i="2"/>
  <c r="O6" i="2"/>
  <c r="R7" i="1"/>
  <c r="N9" i="1"/>
  <c r="I14" i="1"/>
  <c r="I22" i="1" s="1"/>
  <c r="P19" i="1"/>
  <c r="L14" i="1"/>
  <c r="P16" i="1"/>
  <c r="L18" i="1"/>
  <c r="L12" i="1"/>
  <c r="L22" i="1" s="1"/>
  <c r="P14" i="1"/>
  <c r="P12" i="1"/>
  <c r="P21" i="1"/>
  <c r="L16" i="1"/>
  <c r="O9" i="2"/>
  <c r="L16" i="2"/>
  <c r="R6" i="2"/>
  <c r="S6" i="2" s="1"/>
  <c r="S8" i="1" l="1"/>
  <c r="M7" i="2"/>
  <c r="O8" i="3"/>
  <c r="N8" i="3"/>
  <c r="Q8" i="3" s="1"/>
  <c r="R8" i="3" s="1"/>
  <c r="S6" i="1"/>
  <c r="S9" i="1" s="1"/>
  <c r="R9" i="1"/>
  <c r="L8" i="2"/>
  <c r="L9" i="2" s="1"/>
  <c r="M8" i="2"/>
  <c r="F18" i="2"/>
  <c r="K9" i="2"/>
  <c r="K9" i="3"/>
  <c r="M6" i="3"/>
  <c r="M7" i="3"/>
  <c r="I9" i="3"/>
  <c r="F14" i="2"/>
  <c r="F21" i="2" s="1"/>
  <c r="N7" i="3" l="1"/>
  <c r="O7" i="3"/>
  <c r="N8" i="2"/>
  <c r="R8" i="2" s="1"/>
  <c r="S8" i="2" s="1"/>
  <c r="M9" i="3"/>
  <c r="O6" i="3"/>
  <c r="N7" i="2"/>
  <c r="M9" i="2"/>
  <c r="O9" i="3" l="1"/>
  <c r="Q6" i="3"/>
  <c r="K16" i="3"/>
  <c r="S16" i="2"/>
  <c r="O16" i="2"/>
  <c r="S19" i="2"/>
  <c r="O18" i="2"/>
  <c r="O12" i="2"/>
  <c r="O22" i="2" s="1"/>
  <c r="O14" i="2"/>
  <c r="S12" i="2"/>
  <c r="S21" i="2" s="1"/>
  <c r="S14" i="2"/>
  <c r="N9" i="2"/>
  <c r="L14" i="2"/>
  <c r="L22" i="2" s="1"/>
  <c r="R7" i="2"/>
  <c r="S19" i="3"/>
  <c r="S16" i="3"/>
  <c r="S14" i="3"/>
  <c r="O14" i="3"/>
  <c r="O18" i="3"/>
  <c r="O16" i="3"/>
  <c r="S12" i="3"/>
  <c r="S21" i="3" s="1"/>
  <c r="O12" i="3"/>
  <c r="O22" i="3" s="1"/>
  <c r="Q7" i="3"/>
  <c r="R7" i="3" s="1"/>
  <c r="N9" i="3"/>
  <c r="K14" i="3"/>
  <c r="K22" i="3" s="1"/>
  <c r="R9" i="2" l="1"/>
  <c r="S7" i="2"/>
  <c r="S9" i="2" s="1"/>
  <c r="Q9" i="3"/>
  <c r="R6" i="3"/>
  <c r="R9" i="3" s="1"/>
</calcChain>
</file>

<file path=xl/sharedStrings.xml><?xml version="1.0" encoding="utf-8"?>
<sst xmlns="http://schemas.openxmlformats.org/spreadsheetml/2006/main" count="214" uniqueCount="88">
  <si>
    <t xml:space="preserve">NÓMINA PARA PAGO DE SUELDOS </t>
  </si>
  <si>
    <t>OBSERVACIONES:</t>
  </si>
  <si>
    <t>EMPRESA:</t>
  </si>
  <si>
    <t>No.</t>
  </si>
  <si>
    <t>Apellidos y nombres de los trabajadores</t>
  </si>
  <si>
    <t>Básico</t>
  </si>
  <si>
    <t>Días</t>
  </si>
  <si>
    <t xml:space="preserve">DEVENGADO </t>
  </si>
  <si>
    <t>DEDUCCIONES</t>
  </si>
  <si>
    <t>TOTAL A PAGAR</t>
  </si>
  <si>
    <t>Devengado días</t>
  </si>
  <si>
    <t>Subsidio de transporte</t>
  </si>
  <si>
    <t>HED</t>
  </si>
  <si>
    <t>HEN</t>
  </si>
  <si>
    <t>Salud</t>
  </si>
  <si>
    <t xml:space="preserve">Devengado </t>
  </si>
  <si>
    <t>Deducciones</t>
  </si>
  <si>
    <t>Aportes patronales</t>
  </si>
  <si>
    <t>Provisiones</t>
  </si>
  <si>
    <t>Retefuente</t>
  </si>
  <si>
    <t>SENA</t>
  </si>
  <si>
    <t>Prima de servicios</t>
  </si>
  <si>
    <t>ICBF</t>
  </si>
  <si>
    <t>Cesantías</t>
  </si>
  <si>
    <t>Pensión</t>
  </si>
  <si>
    <t>Caja com-   pensac.</t>
  </si>
  <si>
    <t>Interés a las cesantías</t>
  </si>
  <si>
    <t>Fondo de Solidaridad</t>
  </si>
  <si>
    <t>Vacaciones</t>
  </si>
  <si>
    <t xml:space="preserve">Cooperativa </t>
  </si>
  <si>
    <t>TOTAL</t>
  </si>
  <si>
    <t>Preparó:</t>
  </si>
  <si>
    <t>Revisó:</t>
  </si>
  <si>
    <t>Contabilizó:</t>
  </si>
  <si>
    <t xml:space="preserve">Dominical y Festivo </t>
  </si>
  <si>
    <t>TOTAL DEVENGADO</t>
  </si>
  <si>
    <t xml:space="preserve">Nº. Horas </t>
  </si>
  <si>
    <t>Nº. Horas</t>
  </si>
  <si>
    <t>LA COMPAÑÍA QUIMICOS LTDA.</t>
  </si>
  <si>
    <t xml:space="preserve"> </t>
  </si>
  <si>
    <t>Todos tienen cooperativa 3%</t>
  </si>
  <si>
    <t>1 Contador $ 2.100.000.y le descuentan de un préstamo $150.000 mensual</t>
  </si>
  <si>
    <t>2.950.000. y le descuentan por embargo  $180.000 mensual</t>
  </si>
  <si>
    <t>1 Vigilante  mínimo + 15 HED y 2 dominicales</t>
  </si>
  <si>
    <t>1 secretaria $ 830.000.+  12 HEN</t>
  </si>
  <si>
    <t>DIEZ DOS</t>
  </si>
  <si>
    <t>Del 1 al 20 de marzo de 2012</t>
  </si>
  <si>
    <t>I.E COLEGIO LOYOLA  PARA LA CIENCIA Y L A INNOVACIÓN                   MEDELLÍN</t>
  </si>
  <si>
    <t>Pensióny F.S</t>
  </si>
  <si>
    <t>otros</t>
  </si>
  <si>
    <t>Cargo</t>
  </si>
  <si>
    <t>Contador</t>
  </si>
  <si>
    <t>Vigilante</t>
  </si>
  <si>
    <t>Secretaria</t>
  </si>
  <si>
    <t>N°. Horas</t>
  </si>
  <si>
    <t>TOTALES</t>
  </si>
  <si>
    <t>HELADERÍA LOS TRES</t>
  </si>
  <si>
    <t xml:space="preserve"> paga nómina semanal.</t>
  </si>
  <si>
    <t>1 Director $ 2.700.000.y le descuentan de un préstamo $150.000 mensual</t>
  </si>
  <si>
    <t>1 Vigilante  mínimo + 13 HED y 1 festivo</t>
  </si>
  <si>
    <t>1 secretaria $ 730.000.+  8 HEN</t>
  </si>
  <si>
    <t>Semana del 19 al 25 de marzo de 2012</t>
  </si>
  <si>
    <t>Todos tienen cooperativa 4.5%</t>
  </si>
  <si>
    <t>TODOS</t>
  </si>
  <si>
    <t>CHOCOLATES S.A, paga nómina del 1 al 30 marzo de 2012</t>
  </si>
  <si>
    <t>1 Vendedor $ 2.500.000 + 1% sobre las ventas</t>
  </si>
  <si>
    <t>1 Vigilante  mínimo + 1 festivo, su horario habitual es de las 10 pm a las 6 am.</t>
  </si>
  <si>
    <t>1 secretaria $ 730.000.+  15 HEN</t>
  </si>
  <si>
    <t xml:space="preserve"> Ventas de febrero fueron por $12.560.000.oo</t>
  </si>
  <si>
    <t>Todos tienen cooperativa 2.5%</t>
  </si>
  <si>
    <t>HELADERIA LOS TRES</t>
  </si>
  <si>
    <t>Director</t>
  </si>
  <si>
    <t>Cooperativa</t>
  </si>
  <si>
    <t>TOTAL DEDUCCIONES</t>
  </si>
  <si>
    <t>CHOCOCALTES S.A</t>
  </si>
  <si>
    <t>1 al 30 de Marzo 2012</t>
  </si>
  <si>
    <t>N° Horas</t>
  </si>
  <si>
    <t>Cargos</t>
  </si>
  <si>
    <t>Vendedor</t>
  </si>
  <si>
    <t>Comisiones</t>
  </si>
  <si>
    <t xml:space="preserve">Retefuente </t>
  </si>
  <si>
    <t>Caja com-pensac.</t>
  </si>
  <si>
    <r>
      <t xml:space="preserve">EMPRESA: </t>
    </r>
    <r>
      <rPr>
        <sz val="10"/>
        <rFont val="Tahoma"/>
        <family val="2"/>
      </rPr>
      <t>COMPAÑÍA QUIMICOS LTDA</t>
    </r>
  </si>
  <si>
    <r>
      <t xml:space="preserve">PerÍodo de pago: </t>
    </r>
    <r>
      <rPr>
        <sz val="10"/>
        <rFont val="Tahoma"/>
        <family val="2"/>
      </rPr>
      <t>Del 1 al 20 de marzo de 2012</t>
    </r>
  </si>
  <si>
    <t>Peréz Ocampo Abelardo</t>
  </si>
  <si>
    <t>Jiménez Cortéz Felipe</t>
  </si>
  <si>
    <t>González Mora Marcela</t>
  </si>
  <si>
    <t>Periodo de pago: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</si>
</sst>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\-??_ ;_ @_ "/>
    <numFmt numFmtId="165" formatCode="_(* #,##0_);_(* \(#,##0\);_(* \-??_);_(@_)"/>
    <numFmt numFmtId="166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16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10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8">
    <xf numFmtId="0" fontId="0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</xf>
    <xf numFmtId="165" fontId="3" fillId="0" borderId="3" xfId="1" applyNumberFormat="1" applyFont="1" applyFill="1" applyBorder="1" applyAlignment="1" applyProtection="1">
      <alignment horizontal="center"/>
    </xf>
    <xf numFmtId="0" fontId="3" fillId="0" borderId="37" xfId="0" applyFont="1" applyFill="1" applyBorder="1" applyAlignment="1">
      <alignment vertical="center" wrapText="1"/>
    </xf>
    <xf numFmtId="0" fontId="3" fillId="0" borderId="33" xfId="0" applyFont="1" applyFill="1" applyBorder="1" applyAlignment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8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>
      <alignment horizontal="center"/>
    </xf>
    <xf numFmtId="165" fontId="2" fillId="0" borderId="8" xfId="1" applyNumberFormat="1" applyFont="1" applyFill="1" applyBorder="1" applyAlignment="1" applyProtection="1">
      <alignment horizontal="center"/>
    </xf>
    <xf numFmtId="0" fontId="2" fillId="0" borderId="34" xfId="1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2" fillId="11" borderId="91" xfId="0" applyFont="1" applyFill="1" applyBorder="1"/>
    <xf numFmtId="0" fontId="2" fillId="13" borderId="87" xfId="0" applyFont="1" applyFill="1" applyBorder="1"/>
    <xf numFmtId="0" fontId="3" fillId="13" borderId="88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 applyProtection="1"/>
    <xf numFmtId="0" fontId="3" fillId="0" borderId="6" xfId="0" applyNumberFormat="1" applyFont="1" applyFill="1" applyBorder="1"/>
    <xf numFmtId="165" fontId="3" fillId="0" borderId="6" xfId="0" applyNumberFormat="1" applyFont="1" applyFill="1" applyBorder="1"/>
    <xf numFmtId="0" fontId="2" fillId="0" borderId="33" xfId="0" applyFont="1" applyFill="1" applyBorder="1" applyAlignment="1"/>
    <xf numFmtId="0" fontId="2" fillId="0" borderId="20" xfId="0" applyFont="1" applyFill="1" applyBorder="1"/>
    <xf numFmtId="0" fontId="2" fillId="0" borderId="95" xfId="0" applyFont="1" applyFill="1" applyBorder="1"/>
    <xf numFmtId="165" fontId="3" fillId="0" borderId="36" xfId="1" applyNumberFormat="1" applyFont="1" applyFill="1" applyBorder="1" applyAlignment="1" applyProtection="1"/>
    <xf numFmtId="0" fontId="3" fillId="0" borderId="36" xfId="0" applyFont="1" applyFill="1" applyBorder="1"/>
    <xf numFmtId="0" fontId="2" fillId="0" borderId="37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right" vertical="center" wrapText="1"/>
    </xf>
    <xf numFmtId="0" fontId="2" fillId="0" borderId="35" xfId="0" applyNumberFormat="1" applyFont="1" applyFill="1" applyBorder="1" applyAlignment="1">
      <alignment horizontal="right" vertical="center" wrapText="1"/>
    </xf>
    <xf numFmtId="165" fontId="2" fillId="0" borderId="35" xfId="0" applyNumberFormat="1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4" fillId="12" borderId="9" xfId="0" applyFont="1" applyFill="1" applyBorder="1"/>
    <xf numFmtId="0" fontId="3" fillId="12" borderId="10" xfId="0" applyFont="1" applyFill="1" applyBorder="1"/>
    <xf numFmtId="0" fontId="3" fillId="12" borderId="11" xfId="0" applyFont="1" applyFill="1" applyBorder="1"/>
    <xf numFmtId="0" fontId="3" fillId="12" borderId="12" xfId="0" applyFont="1" applyFill="1" applyBorder="1"/>
    <xf numFmtId="0" fontId="3" fillId="12" borderId="0" xfId="0" applyFont="1" applyFill="1" applyBorder="1"/>
    <xf numFmtId="0" fontId="3" fillId="12" borderId="13" xfId="0" applyFont="1" applyFill="1" applyBorder="1"/>
    <xf numFmtId="0" fontId="3" fillId="12" borderId="14" xfId="0" applyFont="1" applyFill="1" applyBorder="1"/>
    <xf numFmtId="0" fontId="3" fillId="12" borderId="15" xfId="0" applyFont="1" applyFill="1" applyBorder="1"/>
    <xf numFmtId="0" fontId="3" fillId="12" borderId="16" xfId="0" applyFont="1" applyFill="1" applyBorder="1"/>
    <xf numFmtId="0" fontId="6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 applyProtection="1"/>
    <xf numFmtId="0" fontId="6" fillId="0" borderId="23" xfId="0" applyFont="1" applyFill="1" applyBorder="1" applyAlignment="1">
      <alignment vertical="center"/>
    </xf>
    <xf numFmtId="165" fontId="6" fillId="0" borderId="4" xfId="1" applyNumberFormat="1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/>
    <xf numFmtId="0" fontId="5" fillId="0" borderId="20" xfId="0" applyFont="1" applyFill="1" applyBorder="1"/>
    <xf numFmtId="0" fontId="5" fillId="0" borderId="36" xfId="0" applyFont="1" applyFill="1" applyBorder="1"/>
    <xf numFmtId="165" fontId="5" fillId="0" borderId="35" xfId="0" applyNumberFormat="1" applyFont="1" applyFill="1" applyBorder="1" applyAlignment="1">
      <alignment horizontal="right" vertical="center" wrapText="1"/>
    </xf>
    <xf numFmtId="165" fontId="5" fillId="0" borderId="37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/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165" fontId="6" fillId="0" borderId="36" xfId="1" applyNumberFormat="1" applyFont="1" applyFill="1" applyBorder="1" applyAlignment="1" applyProtection="1"/>
    <xf numFmtId="0" fontId="6" fillId="0" borderId="36" xfId="0" applyFont="1" applyFill="1" applyBorder="1"/>
    <xf numFmtId="0" fontId="6" fillId="0" borderId="1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5" fillId="13" borderId="87" xfId="0" applyFont="1" applyFill="1" applyBorder="1"/>
    <xf numFmtId="0" fontId="5" fillId="6" borderId="96" xfId="0" applyFont="1" applyFill="1" applyBorder="1"/>
    <xf numFmtId="0" fontId="6" fillId="6" borderId="53" xfId="0" applyFont="1" applyFill="1" applyBorder="1"/>
    <xf numFmtId="0" fontId="6" fillId="0" borderId="6" xfId="0" applyNumberFormat="1" applyFont="1" applyFill="1" applyBorder="1"/>
    <xf numFmtId="0" fontId="5" fillId="0" borderId="37" xfId="0" applyNumberFormat="1" applyFont="1" applyFill="1" applyBorder="1" applyAlignment="1">
      <alignment horizontal="right" vertical="center" wrapText="1"/>
    </xf>
    <xf numFmtId="0" fontId="2" fillId="6" borderId="50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center" vertical="top"/>
    </xf>
    <xf numFmtId="0" fontId="2" fillId="6" borderId="38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/>
    </xf>
    <xf numFmtId="0" fontId="2" fillId="6" borderId="27" xfId="0" applyFont="1" applyFill="1" applyBorder="1" applyAlignment="1">
      <alignment horizontal="center" vertical="top"/>
    </xf>
    <xf numFmtId="0" fontId="2" fillId="6" borderId="44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center" vertical="top"/>
    </xf>
    <xf numFmtId="0" fontId="2" fillId="6" borderId="28" xfId="0" applyFont="1" applyFill="1" applyBorder="1" applyAlignment="1">
      <alignment horizontal="center" vertical="top"/>
    </xf>
    <xf numFmtId="0" fontId="2" fillId="3" borderId="5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30" xfId="0" applyFont="1" applyBorder="1"/>
    <xf numFmtId="0" fontId="3" fillId="0" borderId="43" xfId="0" applyFont="1" applyBorder="1"/>
    <xf numFmtId="0" fontId="2" fillId="0" borderId="3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4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3" borderId="30" xfId="0" applyFont="1" applyFill="1" applyBorder="1" applyAlignment="1">
      <alignment horizontal="center"/>
    </xf>
    <xf numFmtId="0" fontId="3" fillId="13" borderId="43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50" xfId="1" applyNumberFormat="1" applyFont="1" applyFill="1" applyBorder="1" applyAlignment="1" applyProtection="1">
      <alignment horizontal="center" vertical="center" wrapText="1"/>
    </xf>
    <xf numFmtId="0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65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9" fontId="3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3" fillId="3" borderId="91" xfId="0" applyFont="1" applyFill="1" applyBorder="1" applyAlignment="1">
      <alignment horizontal="center" vertical="center" wrapText="1"/>
    </xf>
    <xf numFmtId="0" fontId="3" fillId="3" borderId="92" xfId="0" applyFont="1" applyFill="1" applyBorder="1" applyAlignment="1">
      <alignment horizontal="center" vertical="center" wrapText="1"/>
    </xf>
    <xf numFmtId="0" fontId="3" fillId="3" borderId="93" xfId="0" applyFont="1" applyFill="1" applyBorder="1" applyAlignment="1">
      <alignment horizontal="center" vertical="center" wrapText="1"/>
    </xf>
    <xf numFmtId="0" fontId="3" fillId="3" borderId="9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97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9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3" fillId="11" borderId="92" xfId="0" applyFont="1" applyFill="1" applyBorder="1" applyAlignment="1">
      <alignment horizontal="center"/>
    </xf>
    <xf numFmtId="0" fontId="3" fillId="11" borderId="93" xfId="0" applyFont="1" applyFill="1" applyBorder="1" applyAlignment="1">
      <alignment horizontal="center"/>
    </xf>
    <xf numFmtId="0" fontId="3" fillId="13" borderId="88" xfId="0" applyFont="1" applyFill="1" applyBorder="1" applyAlignment="1">
      <alignment horizontal="center"/>
    </xf>
    <xf numFmtId="0" fontId="3" fillId="13" borderId="89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top"/>
    </xf>
    <xf numFmtId="0" fontId="3" fillId="6" borderId="38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center" vertical="top"/>
    </xf>
    <xf numFmtId="0" fontId="3" fillId="6" borderId="27" xfId="0" applyFont="1" applyFill="1" applyBorder="1" applyAlignment="1">
      <alignment horizontal="center" vertical="top"/>
    </xf>
    <xf numFmtId="0" fontId="3" fillId="6" borderId="18" xfId="0" applyFont="1" applyFill="1" applyBorder="1" applyAlignment="1">
      <alignment horizontal="center" vertical="top"/>
    </xf>
    <xf numFmtId="0" fontId="3" fillId="6" borderId="28" xfId="0" applyFont="1" applyFill="1" applyBorder="1" applyAlignment="1">
      <alignment horizontal="center" vertical="top"/>
    </xf>
    <xf numFmtId="0" fontId="2" fillId="4" borderId="72" xfId="0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0" fontId="2" fillId="7" borderId="5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/>
    </xf>
    <xf numFmtId="0" fontId="3" fillId="10" borderId="94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10" borderId="44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3" fillId="0" borderId="52" xfId="1" applyNumberFormat="1" applyFont="1" applyFill="1" applyBorder="1" applyAlignment="1" applyProtection="1">
      <alignment horizontal="center" vertical="center" wrapText="1"/>
    </xf>
    <xf numFmtId="0" fontId="3" fillId="0" borderId="58" xfId="1" applyNumberFormat="1" applyFont="1" applyFill="1" applyBorder="1" applyAlignment="1" applyProtection="1">
      <alignment horizontal="center" vertical="center" wrapText="1"/>
    </xf>
    <xf numFmtId="0" fontId="2" fillId="0" borderId="51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3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3" fillId="0" borderId="60" xfId="0" applyNumberFormat="1" applyFont="1" applyFill="1" applyBorder="1" applyAlignment="1">
      <alignment horizontal="center" vertical="center" wrapText="1"/>
    </xf>
    <xf numFmtId="0" fontId="3" fillId="0" borderId="61" xfId="0" applyNumberFormat="1" applyFont="1" applyFill="1" applyBorder="1" applyAlignment="1">
      <alignment horizontal="center" vertical="center" wrapText="1"/>
    </xf>
    <xf numFmtId="0" fontId="3" fillId="0" borderId="60" xfId="1" applyNumberFormat="1" applyFont="1" applyFill="1" applyBorder="1" applyAlignment="1" applyProtection="1">
      <alignment horizontal="center" vertical="center" wrapText="1"/>
    </xf>
    <xf numFmtId="0" fontId="3" fillId="0" borderId="61" xfId="1" applyNumberFormat="1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>
      <alignment vertical="center" wrapText="1"/>
    </xf>
    <xf numFmtId="0" fontId="2" fillId="0" borderId="62" xfId="0" applyFont="1" applyFill="1" applyBorder="1" applyAlignment="1">
      <alignment vertical="center" wrapText="1"/>
    </xf>
    <xf numFmtId="165" fontId="3" fillId="0" borderId="60" xfId="0" applyNumberFormat="1" applyFont="1" applyFill="1" applyBorder="1" applyAlignment="1">
      <alignment vertical="center" wrapText="1"/>
    </xf>
    <xf numFmtId="0" fontId="3" fillId="0" borderId="60" xfId="0" applyFont="1" applyFill="1" applyBorder="1" applyAlignment="1">
      <alignment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43" xfId="0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165" fontId="3" fillId="0" borderId="60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vertical="center" wrapText="1"/>
    </xf>
    <xf numFmtId="0" fontId="2" fillId="0" borderId="63" xfId="0" applyFont="1" applyFill="1" applyBorder="1" applyAlignment="1">
      <alignment vertical="center" wrapText="1"/>
    </xf>
    <xf numFmtId="165" fontId="3" fillId="0" borderId="57" xfId="0" applyNumberFormat="1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3" fillId="0" borderId="6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7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6" xfId="0" applyFont="1" applyFill="1" applyBorder="1" applyAlignment="1">
      <alignment vertical="center" wrapText="1"/>
    </xf>
    <xf numFmtId="0" fontId="6" fillId="12" borderId="17" xfId="0" applyFont="1" applyFill="1" applyBorder="1" applyAlignment="1">
      <alignment horizontal="center" vertical="top"/>
    </xf>
    <xf numFmtId="0" fontId="6" fillId="12" borderId="38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horizontal="center" vertical="top"/>
    </xf>
    <xf numFmtId="0" fontId="6" fillId="12" borderId="27" xfId="0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center" vertical="top"/>
    </xf>
    <xf numFmtId="0" fontId="6" fillId="12" borderId="28" xfId="0" applyFont="1" applyFill="1" applyBorder="1" applyAlignment="1">
      <alignment horizontal="center" vertical="top"/>
    </xf>
    <xf numFmtId="0" fontId="6" fillId="5" borderId="50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6" fontId="6" fillId="0" borderId="17" xfId="0" applyNumberFormat="1" applyFont="1" applyFill="1" applyBorder="1" applyAlignment="1">
      <alignment horizontal="center" vertical="center" wrapText="1"/>
    </xf>
    <xf numFmtId="166" fontId="6" fillId="0" borderId="38" xfId="0" applyNumberFormat="1" applyFont="1" applyFill="1" applyBorder="1" applyAlignment="1">
      <alignment horizontal="center" vertical="center" wrapText="1"/>
    </xf>
    <xf numFmtId="166" fontId="6" fillId="0" borderId="18" xfId="0" applyNumberFormat="1" applyFont="1" applyFill="1" applyBorder="1" applyAlignment="1">
      <alignment horizontal="center" vertical="center" wrapText="1"/>
    </xf>
    <xf numFmtId="166" fontId="6" fillId="0" borderId="28" xfId="0" applyNumberFormat="1" applyFont="1" applyFill="1" applyBorder="1" applyAlignment="1">
      <alignment horizontal="center" vertical="center" wrapText="1"/>
    </xf>
    <xf numFmtId="0" fontId="6" fillId="3" borderId="91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97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6" fillId="13" borderId="88" xfId="0" applyFont="1" applyFill="1" applyBorder="1" applyAlignment="1">
      <alignment horizontal="center"/>
    </xf>
    <xf numFmtId="0" fontId="6" fillId="13" borderId="89" xfId="0" applyFont="1" applyFill="1" applyBorder="1" applyAlignment="1">
      <alignment horizontal="center"/>
    </xf>
    <xf numFmtId="0" fontId="6" fillId="6" borderId="53" xfId="0" applyFont="1" applyFill="1" applyBorder="1" applyAlignment="1">
      <alignment horizontal="center"/>
    </xf>
    <xf numFmtId="0" fontId="6" fillId="6" borderId="97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7" borderId="72" xfId="0" applyFont="1" applyFill="1" applyBorder="1" applyAlignment="1">
      <alignment horizontal="center"/>
    </xf>
    <xf numFmtId="0" fontId="5" fillId="7" borderId="9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77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65" fontId="6" fillId="0" borderId="78" xfId="0" applyNumberFormat="1" applyFont="1" applyFill="1" applyBorder="1" applyAlignment="1">
      <alignment vertical="center" wrapText="1"/>
    </xf>
    <xf numFmtId="165" fontId="6" fillId="0" borderId="23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10" borderId="56" xfId="0" applyFont="1" applyFill="1" applyBorder="1" applyAlignment="1">
      <alignment horizontal="center"/>
    </xf>
    <xf numFmtId="0" fontId="6" fillId="10" borderId="94" xfId="0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44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165" fontId="6" fillId="0" borderId="80" xfId="0" applyNumberFormat="1" applyFont="1" applyFill="1" applyBorder="1" applyAlignment="1">
      <alignment vertical="center" wrapText="1"/>
    </xf>
    <xf numFmtId="165" fontId="6" fillId="0" borderId="81" xfId="0" applyNumberFormat="1" applyFont="1" applyFill="1" applyBorder="1" applyAlignment="1">
      <alignment vertical="center" wrapText="1"/>
    </xf>
    <xf numFmtId="165" fontId="6" fillId="0" borderId="79" xfId="1" applyNumberFormat="1" applyFont="1" applyFill="1" applyBorder="1" applyAlignment="1" applyProtection="1">
      <alignment horizontal="center" vertical="center" wrapText="1"/>
    </xf>
    <xf numFmtId="165" fontId="6" fillId="0" borderId="57" xfId="1" applyNumberFormat="1" applyFont="1" applyFill="1" applyBorder="1" applyAlignment="1" applyProtection="1">
      <alignment horizontal="center" vertical="center" wrapText="1"/>
    </xf>
    <xf numFmtId="165" fontId="6" fillId="0" borderId="76" xfId="1" applyNumberFormat="1" applyFont="1" applyFill="1" applyBorder="1" applyAlignment="1" applyProtection="1">
      <alignment horizontal="center" vertical="center" wrapText="1"/>
    </xf>
    <xf numFmtId="165" fontId="6" fillId="0" borderId="6" xfId="1" applyNumberFormat="1" applyFont="1" applyFill="1" applyBorder="1" applyAlignment="1" applyProtection="1">
      <alignment horizontal="center" vertical="center" wrapText="1"/>
    </xf>
    <xf numFmtId="165" fontId="6" fillId="0" borderId="82" xfId="0" applyNumberFormat="1" applyFont="1" applyFill="1" applyBorder="1" applyAlignment="1">
      <alignment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5" fontId="6" fillId="0" borderId="75" xfId="1" applyNumberFormat="1" applyFont="1" applyFill="1" applyBorder="1" applyAlignment="1" applyProtection="1">
      <alignment horizontal="center" vertical="center" wrapText="1"/>
    </xf>
    <xf numFmtId="165" fontId="6" fillId="0" borderId="38" xfId="1" applyNumberFormat="1" applyFont="1" applyFill="1" applyBorder="1" applyAlignment="1" applyProtection="1">
      <alignment horizontal="center" vertical="center" wrapText="1"/>
    </xf>
    <xf numFmtId="165" fontId="6" fillId="0" borderId="80" xfId="0" applyNumberFormat="1" applyFont="1" applyFill="1" applyBorder="1" applyAlignment="1">
      <alignment horizontal="center" vertical="center" wrapText="1"/>
    </xf>
    <xf numFmtId="165" fontId="6" fillId="0" borderId="83" xfId="0" applyNumberFormat="1" applyFont="1" applyFill="1" applyBorder="1" applyAlignment="1">
      <alignment horizontal="center" vertical="center" wrapText="1"/>
    </xf>
    <xf numFmtId="165" fontId="6" fillId="0" borderId="82" xfId="0" applyNumberFormat="1" applyFont="1" applyFill="1" applyBorder="1" applyAlignment="1">
      <alignment horizontal="center" vertical="center" wrapText="1"/>
    </xf>
    <xf numFmtId="165" fontId="6" fillId="0" borderId="79" xfId="0" applyNumberFormat="1" applyFont="1" applyFill="1" applyBorder="1" applyAlignment="1">
      <alignment horizontal="center" vertical="center" wrapText="1"/>
    </xf>
    <xf numFmtId="165" fontId="6" fillId="0" borderId="57" xfId="0" applyNumberFormat="1" applyFont="1" applyFill="1" applyBorder="1" applyAlignment="1">
      <alignment horizontal="center" vertical="center" wrapText="1"/>
    </xf>
    <xf numFmtId="165" fontId="6" fillId="0" borderId="7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5" fillId="0" borderId="84" xfId="0" applyNumberFormat="1" applyFont="1" applyFill="1" applyBorder="1" applyAlignment="1">
      <alignment vertical="center" wrapText="1"/>
    </xf>
    <xf numFmtId="165" fontId="5" fillId="0" borderId="81" xfId="0" applyNumberFormat="1" applyFont="1" applyFill="1" applyBorder="1" applyAlignment="1">
      <alignment vertical="center" wrapText="1"/>
    </xf>
    <xf numFmtId="0" fontId="5" fillId="0" borderId="85" xfId="0" applyFont="1" applyFill="1" applyBorder="1" applyAlignment="1">
      <alignment horizontal="left" vertical="center" wrapText="1"/>
    </xf>
    <xf numFmtId="165" fontId="5" fillId="0" borderId="75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Fill="1" applyBorder="1" applyAlignment="1">
      <alignment horizontal="center" vertical="center" wrapText="1"/>
    </xf>
    <xf numFmtId="165" fontId="5" fillId="0" borderId="28" xfId="0" applyNumberFormat="1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6" fillId="0" borderId="30" xfId="0" applyFont="1" applyFill="1" applyBorder="1" applyAlignment="1">
      <alignment horizontal="left" wrapText="1"/>
    </xf>
    <xf numFmtId="0" fontId="6" fillId="0" borderId="43" xfId="0" applyFont="1" applyFill="1" applyBorder="1" applyAlignment="1">
      <alignment horizontal="left" wrapText="1"/>
    </xf>
    <xf numFmtId="165" fontId="6" fillId="0" borderId="86" xfId="0" applyNumberFormat="1" applyFont="1" applyFill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77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7" fillId="13" borderId="11" xfId="0" applyFont="1" applyFill="1" applyBorder="1"/>
    <xf numFmtId="0" fontId="7" fillId="13" borderId="13" xfId="0" applyFont="1" applyFill="1" applyBorder="1"/>
    <xf numFmtId="0" fontId="7" fillId="13" borderId="16" xfId="0" applyFont="1" applyFill="1" applyBorder="1"/>
    <xf numFmtId="0" fontId="8" fillId="13" borderId="9" xfId="0" applyFont="1" applyFill="1" applyBorder="1"/>
    <xf numFmtId="0" fontId="6" fillId="13" borderId="10" xfId="0" applyFont="1" applyFill="1" applyBorder="1"/>
    <xf numFmtId="0" fontId="6" fillId="13" borderId="12" xfId="0" applyFont="1" applyFill="1" applyBorder="1"/>
    <xf numFmtId="0" fontId="6" fillId="13" borderId="0" xfId="0" applyFont="1" applyFill="1" applyBorder="1"/>
    <xf numFmtId="0" fontId="6" fillId="13" borderId="14" xfId="0" applyFont="1" applyFill="1" applyBorder="1"/>
    <xf numFmtId="0" fontId="6" fillId="13" borderId="15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12</xdr:row>
      <xdr:rowOff>28575</xdr:rowOff>
    </xdr:from>
    <xdr:to>
      <xdr:col>1</xdr:col>
      <xdr:colOff>1962150</xdr:colOff>
      <xdr:row>18</xdr:row>
      <xdr:rowOff>38100</xdr:rowOff>
    </xdr:to>
    <xdr:pic>
      <xdr:nvPicPr>
        <xdr:cNvPr id="2134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89720" l="9467" r="93491"/>
                  </a14:imgEffect>
                  <a14:imgEffect>
                    <a14:sharpenSoften amount="50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81375"/>
          <a:ext cx="21717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142875</xdr:rowOff>
    </xdr:from>
    <xdr:to>
      <xdr:col>1</xdr:col>
      <xdr:colOff>1647825</xdr:colOff>
      <xdr:row>18</xdr:row>
      <xdr:rowOff>171450</xdr:rowOff>
    </xdr:to>
    <xdr:pic>
      <xdr:nvPicPr>
        <xdr:cNvPr id="3146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33650"/>
          <a:ext cx="20764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11</xdr:row>
      <xdr:rowOff>219075</xdr:rowOff>
    </xdr:from>
    <xdr:to>
      <xdr:col>1</xdr:col>
      <xdr:colOff>1447800</xdr:colOff>
      <xdr:row>19</xdr:row>
      <xdr:rowOff>9525</xdr:rowOff>
    </xdr:to>
    <xdr:pic>
      <xdr:nvPicPr>
        <xdr:cNvPr id="4171" name="1 Imagen" descr="Fina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33725"/>
          <a:ext cx="20955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33"/>
  <sheetViews>
    <sheetView topLeftCell="B1" zoomScaleNormal="100" workbookViewId="0">
      <selection sqref="A1:D3"/>
    </sheetView>
  </sheetViews>
  <sheetFormatPr baseColWidth="10" defaultColWidth="11" defaultRowHeight="12.75" x14ac:dyDescent="0.2"/>
  <cols>
    <col min="1" max="1" width="6" style="1" customWidth="1"/>
    <col min="2" max="2" width="31.140625" style="1" customWidth="1"/>
    <col min="3" max="3" width="20.7109375" style="1" customWidth="1"/>
    <col min="4" max="4" width="11" style="1" customWidth="1"/>
    <col min="5" max="5" width="13.28515625" style="1" customWidth="1"/>
    <col min="6" max="6" width="17.7109375" style="1" customWidth="1"/>
    <col min="7" max="7" width="14.42578125" style="1" customWidth="1"/>
    <col min="8" max="8" width="19.5703125" style="1" customWidth="1"/>
    <col min="9" max="9" width="16.140625" style="1" customWidth="1"/>
    <col min="10" max="11" width="14.5703125" style="1" customWidth="1"/>
    <col min="12" max="12" width="20.5703125" style="1" customWidth="1"/>
    <col min="13" max="13" width="19.42578125" style="1" customWidth="1"/>
    <col min="14" max="14" width="13.28515625" style="1" customWidth="1"/>
    <col min="15" max="15" width="10.140625" style="1" customWidth="1"/>
    <col min="16" max="16" width="23.28515625" style="1" customWidth="1"/>
    <col min="17" max="17" width="17.7109375" style="1" customWidth="1"/>
    <col min="18" max="18" width="17.85546875" style="1" customWidth="1"/>
    <col min="19" max="19" width="14.42578125" style="1" customWidth="1"/>
    <col min="20" max="16384" width="11" style="1"/>
  </cols>
  <sheetData>
    <row r="1" spans="1:19" ht="23.25" customHeight="1" thickTop="1" thickBot="1" x14ac:dyDescent="0.25">
      <c r="A1" s="166" t="s">
        <v>47</v>
      </c>
      <c r="B1" s="166"/>
      <c r="C1" s="166"/>
      <c r="D1" s="166"/>
      <c r="E1" s="167" t="s">
        <v>0</v>
      </c>
      <c r="F1" s="167"/>
      <c r="G1" s="167"/>
      <c r="H1" s="167"/>
      <c r="I1" s="167"/>
      <c r="J1" s="130"/>
      <c r="K1" s="131"/>
      <c r="L1" s="121" t="s">
        <v>1</v>
      </c>
      <c r="M1" s="122"/>
      <c r="N1" s="122"/>
      <c r="O1" s="122"/>
      <c r="P1" s="122"/>
      <c r="Q1" s="122"/>
      <c r="R1" s="122"/>
      <c r="S1" s="123"/>
    </row>
    <row r="2" spans="1:19" ht="23.25" customHeight="1" thickTop="1" thickBot="1" x14ac:dyDescent="0.25">
      <c r="A2" s="166"/>
      <c r="B2" s="166"/>
      <c r="C2" s="166"/>
      <c r="D2" s="166"/>
      <c r="E2" s="173" t="s">
        <v>82</v>
      </c>
      <c r="F2" s="174"/>
      <c r="G2" s="174"/>
      <c r="H2" s="174"/>
      <c r="I2" s="175"/>
      <c r="J2" s="132"/>
      <c r="K2" s="133"/>
      <c r="L2" s="124"/>
      <c r="M2" s="125"/>
      <c r="N2" s="125"/>
      <c r="O2" s="125"/>
      <c r="P2" s="125"/>
      <c r="Q2" s="125"/>
      <c r="R2" s="125"/>
      <c r="S2" s="126"/>
    </row>
    <row r="3" spans="1:19" ht="24.75" customHeight="1" thickTop="1" thickBot="1" x14ac:dyDescent="0.25">
      <c r="A3" s="166"/>
      <c r="B3" s="166"/>
      <c r="C3" s="166"/>
      <c r="D3" s="166"/>
      <c r="E3" s="176" t="s">
        <v>83</v>
      </c>
      <c r="F3" s="177"/>
      <c r="G3" s="177"/>
      <c r="H3" s="177"/>
      <c r="I3" s="178"/>
      <c r="J3" s="134"/>
      <c r="K3" s="135"/>
      <c r="L3" s="127"/>
      <c r="M3" s="128"/>
      <c r="N3" s="128"/>
      <c r="O3" s="128"/>
      <c r="P3" s="128"/>
      <c r="Q3" s="128"/>
      <c r="R3" s="128"/>
      <c r="S3" s="129"/>
    </row>
    <row r="4" spans="1:19" ht="24.75" customHeight="1" thickTop="1" thickBot="1" x14ac:dyDescent="0.25">
      <c r="A4" s="168" t="s">
        <v>3</v>
      </c>
      <c r="B4" s="169" t="s">
        <v>4</v>
      </c>
      <c r="C4" s="2"/>
      <c r="D4" s="169" t="s">
        <v>5</v>
      </c>
      <c r="E4" s="169" t="s">
        <v>6</v>
      </c>
      <c r="F4" s="170" t="s">
        <v>7</v>
      </c>
      <c r="G4" s="171"/>
      <c r="H4" s="171"/>
      <c r="I4" s="171"/>
      <c r="J4" s="171"/>
      <c r="K4" s="171"/>
      <c r="L4" s="172"/>
      <c r="M4" s="185" t="s">
        <v>8</v>
      </c>
      <c r="N4" s="186"/>
      <c r="O4" s="186"/>
      <c r="P4" s="186"/>
      <c r="Q4" s="186"/>
      <c r="R4" s="187"/>
      <c r="S4" s="188" t="s">
        <v>9</v>
      </c>
    </row>
    <row r="5" spans="1:19" ht="36" customHeight="1" thickTop="1" thickBot="1" x14ac:dyDescent="0.25">
      <c r="A5" s="168"/>
      <c r="B5" s="169"/>
      <c r="C5" s="3" t="s">
        <v>50</v>
      </c>
      <c r="D5" s="169"/>
      <c r="E5" s="169"/>
      <c r="F5" s="4" t="s">
        <v>10</v>
      </c>
      <c r="G5" s="5" t="s">
        <v>11</v>
      </c>
      <c r="H5" s="6" t="s">
        <v>36</v>
      </c>
      <c r="I5" s="7" t="s">
        <v>12</v>
      </c>
      <c r="J5" s="8" t="s">
        <v>54</v>
      </c>
      <c r="K5" s="9" t="s">
        <v>13</v>
      </c>
      <c r="L5" s="5" t="s">
        <v>34</v>
      </c>
      <c r="M5" s="5" t="s">
        <v>35</v>
      </c>
      <c r="N5" s="5" t="s">
        <v>14</v>
      </c>
      <c r="O5" s="5" t="s">
        <v>48</v>
      </c>
      <c r="P5" s="5" t="s">
        <v>49</v>
      </c>
      <c r="Q5" s="5" t="s">
        <v>72</v>
      </c>
      <c r="R5" s="10" t="s">
        <v>73</v>
      </c>
      <c r="S5" s="188"/>
    </row>
    <row r="6" spans="1:19" ht="14.25" thickTop="1" thickBot="1" x14ac:dyDescent="0.25">
      <c r="A6" s="11">
        <v>1</v>
      </c>
      <c r="B6" s="12" t="s">
        <v>84</v>
      </c>
      <c r="C6" s="12" t="s">
        <v>51</v>
      </c>
      <c r="D6" s="13">
        <v>22950000</v>
      </c>
      <c r="E6" s="14">
        <v>20</v>
      </c>
      <c r="F6" s="15">
        <f>D6/30*E6+IF(D6&lt;=30,D6/30*E6,0)</f>
        <v>15300000</v>
      </c>
      <c r="G6" s="16">
        <f>IF(D6&lt;=566700*2,(67800/30*E6),0)</f>
        <v>0</v>
      </c>
      <c r="H6" s="17">
        <f>IF(C6="Vigilante",15,0)</f>
        <v>0</v>
      </c>
      <c r="I6" s="16">
        <f>IF(C6="Vigilante",2950*H6,0)</f>
        <v>0</v>
      </c>
      <c r="J6" s="16">
        <f>IF(C6="Secretaria",12,0)</f>
        <v>0</v>
      </c>
      <c r="K6" s="16">
        <f>IF(C6="Secretaria",2361*1.75*J6,0)</f>
        <v>0</v>
      </c>
      <c r="L6" s="16">
        <f>IF(C6="Vigilante",4132*H6,0)</f>
        <v>0</v>
      </c>
      <c r="M6" s="16">
        <f>SUM(F6:L6)</f>
        <v>15300000</v>
      </c>
      <c r="N6" s="16">
        <f>IF(D6&lt;=566700*2,M6-G6*4%,0)</f>
        <v>0</v>
      </c>
      <c r="O6" s="18">
        <f>IF(C6="Contador",M6-G6*4%,M6-G6*4%)</f>
        <v>15300000</v>
      </c>
      <c r="P6" s="16">
        <f>IF(C6="Contador",180000/30*E6,0)</f>
        <v>120000</v>
      </c>
      <c r="Q6" s="19">
        <f>IF(C6="Contador",3%,3%)</f>
        <v>0.03</v>
      </c>
      <c r="R6" s="20">
        <f>SUM(N6:Q6)</f>
        <v>15420000.029999999</v>
      </c>
      <c r="S6" s="21">
        <f>SUM(M6-R6)</f>
        <v>-120000.02999999933</v>
      </c>
    </row>
    <row r="7" spans="1:19" ht="14.25" thickTop="1" thickBot="1" x14ac:dyDescent="0.25">
      <c r="A7" s="22">
        <v>2</v>
      </c>
      <c r="B7" s="23" t="s">
        <v>85</v>
      </c>
      <c r="C7" s="23" t="s">
        <v>52</v>
      </c>
      <c r="D7" s="24">
        <v>566700</v>
      </c>
      <c r="E7" s="14">
        <v>20</v>
      </c>
      <c r="F7" s="15">
        <f>D7/30*E7+IF(D7&lt;=30,D7/30*E7,0)</f>
        <v>377800</v>
      </c>
      <c r="G7" s="16">
        <f>IF(D7&lt;=566700*2,(67800/30*E7),0)</f>
        <v>45200</v>
      </c>
      <c r="H7" s="17">
        <f>IF(C7="Vigilante",15,0)</f>
        <v>15</v>
      </c>
      <c r="I7" s="16">
        <f>IF(C7="Vigilante",2950*H7,0)</f>
        <v>44250</v>
      </c>
      <c r="J7" s="16">
        <f>IF(C7="Secretaria",12,0)</f>
        <v>0</v>
      </c>
      <c r="K7" s="16">
        <f>IF(C7="Secretaria",2361*1.75*J7,0)</f>
        <v>0</v>
      </c>
      <c r="L7" s="16">
        <f>IF(C7="Vigilante",4132*H7,0)</f>
        <v>61980</v>
      </c>
      <c r="M7" s="16">
        <f>SUM(F7:L7)</f>
        <v>529245</v>
      </c>
      <c r="N7" s="16">
        <f>IF(D7&lt;=566700*2,M7-G7*4%,0)</f>
        <v>527437</v>
      </c>
      <c r="O7" s="16">
        <f>IF(C7="Contador",M7-G7*4%,M7-G7*4%)</f>
        <v>527437</v>
      </c>
      <c r="P7" s="16">
        <f>IF(C7="Contador",180000/30*E7,0)</f>
        <v>0</v>
      </c>
      <c r="Q7" s="19">
        <f>IF(C7="Contador",3%,3%)</f>
        <v>0.03</v>
      </c>
      <c r="R7" s="25">
        <f>SUM(N7:Q7)</f>
        <v>1054874.03</v>
      </c>
      <c r="S7" s="21">
        <f t="shared" ref="S7:S8" si="0">SUM(M7-R7)</f>
        <v>-525629.03</v>
      </c>
    </row>
    <row r="8" spans="1:19" ht="14.25" thickTop="1" thickBot="1" x14ac:dyDescent="0.25">
      <c r="A8" s="22">
        <v>3</v>
      </c>
      <c r="B8" s="26" t="s">
        <v>86</v>
      </c>
      <c r="C8" s="26" t="s">
        <v>53</v>
      </c>
      <c r="D8" s="24">
        <v>830000</v>
      </c>
      <c r="E8" s="14">
        <v>20</v>
      </c>
      <c r="F8" s="15">
        <f>D8/30*E8+IF(D8&lt;=30,D8/30*E8,0)</f>
        <v>553333.33333333337</v>
      </c>
      <c r="G8" s="16">
        <f>IF(D8&lt;=566700*2,(67800/30*E8),0)</f>
        <v>45200</v>
      </c>
      <c r="H8" s="17">
        <f>IF(C8="Vigilante",15,0)</f>
        <v>0</v>
      </c>
      <c r="I8" s="16">
        <f>IF(C8="Vigilante",2950*H8,0)</f>
        <v>0</v>
      </c>
      <c r="J8" s="16">
        <f>IF(C8="Secretaria",12,0)</f>
        <v>12</v>
      </c>
      <c r="K8" s="16">
        <f>IF(C8="Secretaria",2361*1.75*J8,0)</f>
        <v>49581</v>
      </c>
      <c r="L8" s="16">
        <f>IF(C8="Vigilante",4132*H8,0)</f>
        <v>0</v>
      </c>
      <c r="M8" s="16">
        <f>SUM(F8:L8)</f>
        <v>648126.33333333337</v>
      </c>
      <c r="N8" s="16">
        <f>IF(D8&lt;=566700*2,M8-G8*4%,0)</f>
        <v>646318.33333333337</v>
      </c>
      <c r="O8" s="16">
        <f>IF(C8="Contador",M8-G8*4%,M8-G8*4%)</f>
        <v>646318.33333333337</v>
      </c>
      <c r="P8" s="16">
        <f>IF(C8="Contador",180000/30*E8,0)</f>
        <v>0</v>
      </c>
      <c r="Q8" s="19">
        <f>IF(C8="Contador",3%,3%)</f>
        <v>0.03</v>
      </c>
      <c r="R8" s="25">
        <f>SUM(N8:Q8)</f>
        <v>1292636.6966666668</v>
      </c>
      <c r="S8" s="21">
        <f t="shared" si="0"/>
        <v>-644510.3633333334</v>
      </c>
    </row>
    <row r="9" spans="1:19" ht="14.25" thickTop="1" thickBot="1" x14ac:dyDescent="0.25">
      <c r="A9" s="27"/>
      <c r="B9" s="28" t="s">
        <v>55</v>
      </c>
      <c r="C9" s="29"/>
      <c r="D9" s="30">
        <v>0</v>
      </c>
      <c r="E9" s="30">
        <v>0</v>
      </c>
      <c r="F9" s="30">
        <f t="shared" ref="F9:L9" si="1">SUM(F6:F8)</f>
        <v>16231133.333333334</v>
      </c>
      <c r="G9" s="31">
        <f t="shared" si="1"/>
        <v>90400</v>
      </c>
      <c r="H9" s="32">
        <f t="shared" si="1"/>
        <v>15</v>
      </c>
      <c r="I9" s="32">
        <f t="shared" si="1"/>
        <v>44250</v>
      </c>
      <c r="J9" s="32">
        <f t="shared" si="1"/>
        <v>12</v>
      </c>
      <c r="K9" s="32">
        <f t="shared" si="1"/>
        <v>49581</v>
      </c>
      <c r="L9" s="32">
        <f t="shared" si="1"/>
        <v>61980</v>
      </c>
      <c r="M9" s="32">
        <f t="shared" ref="M9:R9" si="2">SUM(M6:M8)</f>
        <v>16477371.333333334</v>
      </c>
      <c r="N9" s="31">
        <f>SUM(N6:N8)</f>
        <v>1173755.3333333335</v>
      </c>
      <c r="O9" s="31">
        <f>SUM(O6:O8)</f>
        <v>16473755.333333334</v>
      </c>
      <c r="P9" s="33">
        <f t="shared" si="2"/>
        <v>120000</v>
      </c>
      <c r="Q9" s="32">
        <f t="shared" si="2"/>
        <v>0.09</v>
      </c>
      <c r="R9" s="31">
        <f t="shared" si="2"/>
        <v>17767510.756666664</v>
      </c>
      <c r="S9" s="31">
        <f>SUM(S6:S8)</f>
        <v>-1290139.4233333329</v>
      </c>
    </row>
    <row r="10" spans="1:19" ht="16.5" customHeight="1" thickTop="1" x14ac:dyDescent="0.2">
      <c r="A10" s="136"/>
      <c r="B10" s="137"/>
      <c r="C10" s="179" t="s">
        <v>15</v>
      </c>
      <c r="D10" s="180"/>
      <c r="E10" s="180"/>
      <c r="F10" s="180"/>
      <c r="G10" s="181"/>
      <c r="H10" s="141" t="s">
        <v>16</v>
      </c>
      <c r="I10" s="142"/>
      <c r="J10" s="143"/>
      <c r="K10" s="147" t="s">
        <v>17</v>
      </c>
      <c r="L10" s="147"/>
      <c r="M10" s="148"/>
      <c r="N10" s="151" t="s">
        <v>18</v>
      </c>
      <c r="O10" s="151"/>
      <c r="P10" s="152"/>
      <c r="Q10" s="34"/>
      <c r="R10" s="34"/>
      <c r="S10" s="35"/>
    </row>
    <row r="11" spans="1:19" ht="14.25" customHeight="1" thickBot="1" x14ac:dyDescent="0.25">
      <c r="A11" s="136"/>
      <c r="B11" s="137"/>
      <c r="C11" s="182"/>
      <c r="D11" s="183"/>
      <c r="E11" s="183"/>
      <c r="F11" s="183"/>
      <c r="G11" s="184"/>
      <c r="H11" s="144"/>
      <c r="I11" s="145"/>
      <c r="J11" s="146"/>
      <c r="K11" s="149"/>
      <c r="L11" s="149"/>
      <c r="M11" s="150"/>
      <c r="N11" s="153"/>
      <c r="O11" s="153"/>
      <c r="P11" s="154"/>
      <c r="Q11" s="34"/>
      <c r="R11" s="34"/>
      <c r="S11" s="35"/>
    </row>
    <row r="12" spans="1:19" ht="27.75" customHeight="1" thickTop="1" thickBot="1" x14ac:dyDescent="0.25">
      <c r="A12" s="136"/>
      <c r="B12" s="138"/>
      <c r="C12" s="192" t="s">
        <v>10</v>
      </c>
      <c r="D12" s="192"/>
      <c r="E12" s="200">
        <f>SUM(F6:F8)</f>
        <v>16231133.333333334</v>
      </c>
      <c r="F12" s="200"/>
      <c r="G12" s="200"/>
      <c r="H12" s="192" t="s">
        <v>19</v>
      </c>
      <c r="I12" s="200">
        <v>0</v>
      </c>
      <c r="J12" s="200"/>
      <c r="K12" s="192" t="s">
        <v>20</v>
      </c>
      <c r="L12" s="193">
        <f>M9*2%</f>
        <v>329547.4266666667</v>
      </c>
      <c r="M12" s="194"/>
      <c r="N12" s="197" t="s">
        <v>21</v>
      </c>
      <c r="O12" s="197"/>
      <c r="P12" s="198">
        <f>M9*8.33%</f>
        <v>1372565.0320666668</v>
      </c>
    </row>
    <row r="13" spans="1:19" ht="13.5" customHeight="1" thickTop="1" thickBot="1" x14ac:dyDescent="0.25">
      <c r="A13" s="136"/>
      <c r="B13" s="138"/>
      <c r="C13" s="192"/>
      <c r="D13" s="192"/>
      <c r="E13" s="200"/>
      <c r="F13" s="200"/>
      <c r="G13" s="200"/>
      <c r="H13" s="192"/>
      <c r="I13" s="200"/>
      <c r="J13" s="200"/>
      <c r="K13" s="192"/>
      <c r="L13" s="195"/>
      <c r="M13" s="196"/>
      <c r="N13" s="197"/>
      <c r="O13" s="197"/>
      <c r="P13" s="199"/>
    </row>
    <row r="14" spans="1:19" ht="19.5" customHeight="1" thickTop="1" thickBot="1" x14ac:dyDescent="0.25">
      <c r="A14" s="136"/>
      <c r="B14" s="138"/>
      <c r="C14" s="192" t="s">
        <v>11</v>
      </c>
      <c r="D14" s="192"/>
      <c r="E14" s="200">
        <f>SUM(G6:G8)</f>
        <v>90400</v>
      </c>
      <c r="F14" s="200"/>
      <c r="G14" s="200"/>
      <c r="H14" s="192" t="s">
        <v>14</v>
      </c>
      <c r="I14" s="200">
        <f>SUM(N6:N8)</f>
        <v>1173755.3333333335</v>
      </c>
      <c r="J14" s="200"/>
      <c r="K14" s="192" t="s">
        <v>22</v>
      </c>
      <c r="L14" s="193">
        <f>M9*3%</f>
        <v>494321.14</v>
      </c>
      <c r="M14" s="194"/>
      <c r="N14" s="197" t="s">
        <v>23</v>
      </c>
      <c r="O14" s="197"/>
      <c r="P14" s="198">
        <f>M9*8.33%</f>
        <v>1372565.0320666668</v>
      </c>
    </row>
    <row r="15" spans="1:19" ht="21" customHeight="1" thickTop="1" thickBot="1" x14ac:dyDescent="0.25">
      <c r="A15" s="136"/>
      <c r="B15" s="138"/>
      <c r="C15" s="192"/>
      <c r="D15" s="192"/>
      <c r="E15" s="200"/>
      <c r="F15" s="200"/>
      <c r="G15" s="200"/>
      <c r="H15" s="192"/>
      <c r="I15" s="200"/>
      <c r="J15" s="200"/>
      <c r="K15" s="192"/>
      <c r="L15" s="195"/>
      <c r="M15" s="196"/>
      <c r="N15" s="197"/>
      <c r="O15" s="197"/>
      <c r="P15" s="199"/>
    </row>
    <row r="16" spans="1:19" ht="12.75" customHeight="1" thickTop="1" thickBot="1" x14ac:dyDescent="0.25">
      <c r="A16" s="136"/>
      <c r="B16" s="138"/>
      <c r="C16" s="192" t="s">
        <v>12</v>
      </c>
      <c r="D16" s="192"/>
      <c r="E16" s="200">
        <f>SUM(I6:I8)</f>
        <v>44250</v>
      </c>
      <c r="F16" s="200"/>
      <c r="G16" s="200"/>
      <c r="H16" s="192" t="s">
        <v>24</v>
      </c>
      <c r="I16" s="200">
        <f>SUM(O6:O8)</f>
        <v>16473755.333333334</v>
      </c>
      <c r="J16" s="200"/>
      <c r="K16" s="192" t="s">
        <v>25</v>
      </c>
      <c r="L16" s="201">
        <f>M9*4%</f>
        <v>659094.85333333339</v>
      </c>
      <c r="M16" s="202"/>
      <c r="N16" s="192" t="s">
        <v>26</v>
      </c>
      <c r="O16" s="192"/>
      <c r="P16" s="212">
        <f>M9*12%</f>
        <v>1977284.56</v>
      </c>
    </row>
    <row r="17" spans="1:17" ht="23.25" customHeight="1" thickTop="1" thickBot="1" x14ac:dyDescent="0.25">
      <c r="A17" s="136"/>
      <c r="B17" s="138"/>
      <c r="C17" s="192"/>
      <c r="D17" s="192"/>
      <c r="E17" s="200"/>
      <c r="F17" s="200"/>
      <c r="G17" s="200"/>
      <c r="H17" s="192"/>
      <c r="I17" s="200"/>
      <c r="J17" s="200"/>
      <c r="K17" s="192"/>
      <c r="L17" s="203"/>
      <c r="M17" s="204"/>
      <c r="N17" s="192"/>
      <c r="O17" s="192"/>
      <c r="P17" s="200"/>
    </row>
    <row r="18" spans="1:17" ht="22.5" customHeight="1" thickTop="1" thickBot="1" x14ac:dyDescent="0.25">
      <c r="A18" s="136"/>
      <c r="B18" s="138"/>
      <c r="C18" s="209" t="s">
        <v>13</v>
      </c>
      <c r="D18" s="209"/>
      <c r="E18" s="200">
        <f>SUM(K6:K8)</f>
        <v>49581</v>
      </c>
      <c r="F18" s="200"/>
      <c r="G18" s="200"/>
      <c r="H18" s="192" t="s">
        <v>27</v>
      </c>
      <c r="I18" s="201">
        <v>0</v>
      </c>
      <c r="J18" s="202"/>
      <c r="K18" s="192" t="s">
        <v>14</v>
      </c>
      <c r="L18" s="205">
        <f>M9*12.5%</f>
        <v>2059671.4166666667</v>
      </c>
      <c r="M18" s="206"/>
      <c r="N18" s="192"/>
      <c r="O18" s="192"/>
      <c r="P18" s="200"/>
    </row>
    <row r="19" spans="1:17" ht="19.5" customHeight="1" thickTop="1" thickBot="1" x14ac:dyDescent="0.25">
      <c r="A19" s="136"/>
      <c r="B19" s="138"/>
      <c r="C19" s="209"/>
      <c r="D19" s="209"/>
      <c r="E19" s="200"/>
      <c r="F19" s="200"/>
      <c r="G19" s="200"/>
      <c r="H19" s="192"/>
      <c r="I19" s="203"/>
      <c r="J19" s="204"/>
      <c r="K19" s="192"/>
      <c r="L19" s="207"/>
      <c r="M19" s="208"/>
      <c r="N19" s="197" t="s">
        <v>28</v>
      </c>
      <c r="O19" s="197"/>
      <c r="P19" s="198">
        <f>M9*4.16%</f>
        <v>685458.64746666665</v>
      </c>
    </row>
    <row r="20" spans="1:17" ht="18" customHeight="1" thickTop="1" thickBot="1" x14ac:dyDescent="0.25">
      <c r="A20" s="136"/>
      <c r="B20" s="138"/>
      <c r="C20" s="209"/>
      <c r="D20" s="209"/>
      <c r="E20" s="200"/>
      <c r="F20" s="200"/>
      <c r="G20" s="200"/>
      <c r="H20" s="192" t="s">
        <v>29</v>
      </c>
      <c r="I20" s="210">
        <f>SUM(Q6:Q8)</f>
        <v>0.09</v>
      </c>
      <c r="J20" s="200"/>
      <c r="K20" s="192" t="s">
        <v>24</v>
      </c>
      <c r="L20" s="201">
        <f>F9*16%</f>
        <v>2596981.3333333335</v>
      </c>
      <c r="M20" s="202"/>
      <c r="N20" s="197"/>
      <c r="O20" s="197"/>
      <c r="P20" s="199"/>
    </row>
    <row r="21" spans="1:17" ht="22.5" customHeight="1" thickTop="1" thickBot="1" x14ac:dyDescent="0.25">
      <c r="A21" s="136"/>
      <c r="B21" s="138"/>
      <c r="C21" s="192" t="s">
        <v>30</v>
      </c>
      <c r="D21" s="192"/>
      <c r="E21" s="169">
        <f>SUM(E14:G20)</f>
        <v>184231</v>
      </c>
      <c r="F21" s="169"/>
      <c r="G21" s="169"/>
      <c r="H21" s="192"/>
      <c r="I21" s="200"/>
      <c r="J21" s="200"/>
      <c r="K21" s="192"/>
      <c r="L21" s="203"/>
      <c r="M21" s="204"/>
      <c r="N21" s="197" t="s">
        <v>30</v>
      </c>
      <c r="O21" s="197"/>
      <c r="P21" s="211">
        <f>SUM(P12:P20)</f>
        <v>5407873.2716000006</v>
      </c>
      <c r="Q21" s="35"/>
    </row>
    <row r="22" spans="1:17" ht="18.75" customHeight="1" thickTop="1" thickBot="1" x14ac:dyDescent="0.25">
      <c r="A22" s="139"/>
      <c r="B22" s="140"/>
      <c r="C22" s="192"/>
      <c r="D22" s="192"/>
      <c r="E22" s="169"/>
      <c r="F22" s="169"/>
      <c r="G22" s="169"/>
      <c r="H22" s="158" t="s">
        <v>30</v>
      </c>
      <c r="I22" s="160">
        <f>SUM(I12:J21)</f>
        <v>17647510.756666668</v>
      </c>
      <c r="J22" s="161"/>
      <c r="K22" s="164" t="s">
        <v>30</v>
      </c>
      <c r="L22" s="160">
        <f>SUM(L12:M21)</f>
        <v>6139616.1699999999</v>
      </c>
      <c r="M22" s="161"/>
      <c r="N22" s="197"/>
      <c r="O22" s="197"/>
      <c r="P22" s="197"/>
      <c r="Q22" s="35"/>
    </row>
    <row r="23" spans="1:17" ht="28.5" customHeight="1" thickTop="1" thickBot="1" x14ac:dyDescent="0.25">
      <c r="A23" s="36" t="s">
        <v>31</v>
      </c>
      <c r="B23" s="37"/>
      <c r="C23" s="38"/>
      <c r="D23" s="189" t="s">
        <v>32</v>
      </c>
      <c r="E23" s="190"/>
      <c r="F23" s="190"/>
      <c r="G23" s="191"/>
      <c r="H23" s="159"/>
      <c r="I23" s="162"/>
      <c r="J23" s="163"/>
      <c r="K23" s="165"/>
      <c r="L23" s="162"/>
      <c r="M23" s="163"/>
      <c r="N23" s="155" t="s">
        <v>33</v>
      </c>
      <c r="O23" s="156"/>
      <c r="P23" s="157"/>
      <c r="Q23" s="39"/>
    </row>
    <row r="24" spans="1:17" ht="14.25" thickTop="1" thickBot="1" x14ac:dyDescent="0.25">
      <c r="Q24" s="35"/>
    </row>
    <row r="25" spans="1:17" ht="13.5" thickTop="1" x14ac:dyDescent="0.2">
      <c r="H25" s="40" t="s">
        <v>45</v>
      </c>
      <c r="I25" s="41"/>
      <c r="J25" s="41"/>
      <c r="K25" s="41"/>
      <c r="L25" s="41"/>
      <c r="M25" s="42"/>
      <c r="Q25" s="35"/>
    </row>
    <row r="26" spans="1:17" x14ac:dyDescent="0.2">
      <c r="H26" s="43" t="s">
        <v>38</v>
      </c>
      <c r="I26" s="44"/>
      <c r="J26" s="44"/>
      <c r="K26" s="44"/>
      <c r="L26" s="44"/>
      <c r="M26" s="45"/>
    </row>
    <row r="27" spans="1:17" x14ac:dyDescent="0.2">
      <c r="H27" s="43" t="s">
        <v>41</v>
      </c>
      <c r="I27" s="44" t="s">
        <v>42</v>
      </c>
      <c r="J27" s="44"/>
      <c r="K27" s="44"/>
      <c r="L27" s="44"/>
      <c r="M27" s="45"/>
    </row>
    <row r="28" spans="1:17" x14ac:dyDescent="0.2">
      <c r="H28" s="43" t="s">
        <v>43</v>
      </c>
      <c r="I28" s="44"/>
      <c r="J28" s="44"/>
      <c r="K28" s="44"/>
      <c r="L28" s="44"/>
      <c r="M28" s="45"/>
    </row>
    <row r="29" spans="1:17" x14ac:dyDescent="0.2">
      <c r="H29" s="43" t="s">
        <v>44</v>
      </c>
      <c r="I29" s="44"/>
      <c r="J29" s="44"/>
      <c r="K29" s="44"/>
      <c r="L29" s="44"/>
      <c r="M29" s="45"/>
    </row>
    <row r="30" spans="1:17" x14ac:dyDescent="0.2">
      <c r="H30" s="43" t="s">
        <v>39</v>
      </c>
      <c r="I30" s="44" t="s">
        <v>46</v>
      </c>
      <c r="J30" s="44"/>
      <c r="K30" s="44"/>
      <c r="L30" s="44"/>
      <c r="M30" s="45"/>
    </row>
    <row r="31" spans="1:17" x14ac:dyDescent="0.2">
      <c r="H31" s="43"/>
      <c r="I31" s="44" t="s">
        <v>40</v>
      </c>
      <c r="J31" s="44"/>
      <c r="K31" s="44"/>
      <c r="L31" s="44"/>
      <c r="M31" s="45"/>
    </row>
    <row r="32" spans="1:17" ht="13.5" thickBot="1" x14ac:dyDescent="0.25">
      <c r="H32" s="46"/>
      <c r="I32" s="47"/>
      <c r="J32" s="47"/>
      <c r="K32" s="47"/>
      <c r="L32" s="47"/>
      <c r="M32" s="48"/>
    </row>
    <row r="33" ht="13.5" thickTop="1" x14ac:dyDescent="0.2"/>
  </sheetData>
  <mergeCells count="64">
    <mergeCell ref="P16:P18"/>
    <mergeCell ref="N19:O20"/>
    <mergeCell ref="P19:P20"/>
    <mergeCell ref="N16:O18"/>
    <mergeCell ref="C16:D17"/>
    <mergeCell ref="H16:H17"/>
    <mergeCell ref="I16:J17"/>
    <mergeCell ref="E16:G17"/>
    <mergeCell ref="E18:G20"/>
    <mergeCell ref="C18:D20"/>
    <mergeCell ref="H18:H19"/>
    <mergeCell ref="I18:J19"/>
    <mergeCell ref="H20:H21"/>
    <mergeCell ref="I20:J21"/>
    <mergeCell ref="C21:D22"/>
    <mergeCell ref="E21:G22"/>
    <mergeCell ref="N21:O22"/>
    <mergeCell ref="K16:K17"/>
    <mergeCell ref="L16:M17"/>
    <mergeCell ref="H12:H13"/>
    <mergeCell ref="I12:J13"/>
    <mergeCell ref="E12:G13"/>
    <mergeCell ref="K20:K21"/>
    <mergeCell ref="L20:M21"/>
    <mergeCell ref="K18:K19"/>
    <mergeCell ref="L18:M19"/>
    <mergeCell ref="M4:R4"/>
    <mergeCell ref="S4:S5"/>
    <mergeCell ref="D23:G23"/>
    <mergeCell ref="K12:K13"/>
    <mergeCell ref="L12:M13"/>
    <mergeCell ref="N12:O13"/>
    <mergeCell ref="P12:P13"/>
    <mergeCell ref="N14:O15"/>
    <mergeCell ref="P14:P15"/>
    <mergeCell ref="C14:D15"/>
    <mergeCell ref="H14:H15"/>
    <mergeCell ref="I14:J15"/>
    <mergeCell ref="E14:G15"/>
    <mergeCell ref="K14:K15"/>
    <mergeCell ref="L14:M15"/>
    <mergeCell ref="C12:D13"/>
    <mergeCell ref="N23:P23"/>
    <mergeCell ref="H22:H23"/>
    <mergeCell ref="I22:J23"/>
    <mergeCell ref="K22:K23"/>
    <mergeCell ref="L22:M23"/>
    <mergeCell ref="P21:P22"/>
    <mergeCell ref="L1:S3"/>
    <mergeCell ref="J1:K3"/>
    <mergeCell ref="A10:B22"/>
    <mergeCell ref="H10:J11"/>
    <mergeCell ref="K10:M11"/>
    <mergeCell ref="N10:P11"/>
    <mergeCell ref="A1:D3"/>
    <mergeCell ref="E1:I1"/>
    <mergeCell ref="A4:A5"/>
    <mergeCell ref="B4:B5"/>
    <mergeCell ref="D4:D5"/>
    <mergeCell ref="E4:E5"/>
    <mergeCell ref="F4:L4"/>
    <mergeCell ref="E2:I2"/>
    <mergeCell ref="E3:I3"/>
    <mergeCell ref="C10:G11"/>
  </mergeCells>
  <phoneticPr fontId="0" type="noConversion"/>
  <pageMargins left="0.78749999999999998" right="0.78749999999999998" top="0.78749999999999998" bottom="0.78749999999999998" header="0" footer="0"/>
  <pageSetup paperSize="5" firstPageNumber="0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32"/>
  <sheetViews>
    <sheetView topLeftCell="E1" zoomScaleNormal="100" workbookViewId="0">
      <selection activeCell="M4" sqref="M4:R4"/>
    </sheetView>
  </sheetViews>
  <sheetFormatPr baseColWidth="10" defaultRowHeight="12.75" x14ac:dyDescent="0.2"/>
  <cols>
    <col min="1" max="1" width="7.140625" style="1" customWidth="1"/>
    <col min="2" max="3" width="26.7109375" style="1" customWidth="1"/>
    <col min="4" max="11" width="11.5703125" style="1" bestFit="1" customWidth="1"/>
    <col min="12" max="12" width="14.7109375" style="1" bestFit="1" customWidth="1"/>
    <col min="13" max="13" width="13.7109375" style="1" customWidth="1"/>
    <col min="14" max="14" width="17.28515625" style="1" bestFit="1" customWidth="1"/>
    <col min="15" max="16" width="11.5703125" style="1" bestFit="1" customWidth="1"/>
    <col min="17" max="18" width="15.140625" style="1" customWidth="1"/>
    <col min="19" max="19" width="17" style="1" bestFit="1" customWidth="1"/>
    <col min="20" max="16384" width="11.42578125" style="1"/>
  </cols>
  <sheetData>
    <row r="1" spans="1:19" ht="14.25" thickTop="1" thickBot="1" x14ac:dyDescent="0.25">
      <c r="A1" s="166" t="s">
        <v>47</v>
      </c>
      <c r="B1" s="166"/>
      <c r="C1" s="166"/>
      <c r="D1" s="166"/>
      <c r="E1" s="234" t="s">
        <v>0</v>
      </c>
      <c r="F1" s="234"/>
      <c r="G1" s="234"/>
      <c r="H1" s="234"/>
      <c r="I1" s="234"/>
      <c r="J1" s="234"/>
      <c r="K1" s="234"/>
      <c r="L1" s="239" t="s">
        <v>1</v>
      </c>
      <c r="M1" s="239"/>
      <c r="N1" s="239"/>
      <c r="O1" s="239"/>
      <c r="P1" s="239"/>
      <c r="Q1" s="239"/>
      <c r="R1" s="239"/>
      <c r="S1" s="240"/>
    </row>
    <row r="2" spans="1:19" ht="14.25" thickTop="1" thickBot="1" x14ac:dyDescent="0.25">
      <c r="A2" s="166"/>
      <c r="B2" s="166"/>
      <c r="C2" s="166"/>
      <c r="D2" s="166"/>
      <c r="E2" s="49" t="s">
        <v>2</v>
      </c>
      <c r="F2" s="235" t="s">
        <v>70</v>
      </c>
      <c r="G2" s="235"/>
      <c r="H2" s="235"/>
      <c r="I2" s="235"/>
      <c r="J2" s="235"/>
      <c r="K2" s="236"/>
      <c r="L2" s="241"/>
      <c r="M2" s="241"/>
      <c r="N2" s="241"/>
      <c r="O2" s="241"/>
      <c r="P2" s="241"/>
      <c r="Q2" s="241"/>
      <c r="R2" s="241"/>
      <c r="S2" s="242"/>
    </row>
    <row r="3" spans="1:19" ht="14.25" thickTop="1" thickBot="1" x14ac:dyDescent="0.25">
      <c r="A3" s="166"/>
      <c r="B3" s="166"/>
      <c r="C3" s="166"/>
      <c r="D3" s="166"/>
      <c r="E3" s="50" t="s">
        <v>87</v>
      </c>
      <c r="F3" s="51"/>
      <c r="G3" s="237" t="s">
        <v>61</v>
      </c>
      <c r="H3" s="237"/>
      <c r="I3" s="237"/>
      <c r="J3" s="237"/>
      <c r="K3" s="238"/>
      <c r="L3" s="243"/>
      <c r="M3" s="243"/>
      <c r="N3" s="243"/>
      <c r="O3" s="243"/>
      <c r="P3" s="243"/>
      <c r="Q3" s="243"/>
      <c r="R3" s="243"/>
      <c r="S3" s="244"/>
    </row>
    <row r="4" spans="1:19" ht="14.25" thickTop="1" thickBot="1" x14ac:dyDescent="0.25">
      <c r="A4" s="168" t="s">
        <v>3</v>
      </c>
      <c r="B4" s="169" t="s">
        <v>4</v>
      </c>
      <c r="C4" s="52"/>
      <c r="D4" s="169" t="s">
        <v>5</v>
      </c>
      <c r="E4" s="165" t="s">
        <v>6</v>
      </c>
      <c r="F4" s="245" t="s">
        <v>7</v>
      </c>
      <c r="G4" s="245"/>
      <c r="H4" s="246"/>
      <c r="I4" s="246"/>
      <c r="J4" s="246"/>
      <c r="K4" s="245"/>
      <c r="L4" s="247"/>
      <c r="M4" s="248" t="s">
        <v>8</v>
      </c>
      <c r="N4" s="248"/>
      <c r="O4" s="248"/>
      <c r="P4" s="248"/>
      <c r="Q4" s="248"/>
      <c r="R4" s="248"/>
      <c r="S4" s="169" t="s">
        <v>9</v>
      </c>
    </row>
    <row r="5" spans="1:19" ht="27" thickTop="1" thickBot="1" x14ac:dyDescent="0.25">
      <c r="A5" s="168"/>
      <c r="B5" s="169"/>
      <c r="C5" s="53" t="s">
        <v>50</v>
      </c>
      <c r="D5" s="169"/>
      <c r="E5" s="169"/>
      <c r="F5" s="4" t="s">
        <v>10</v>
      </c>
      <c r="G5" s="5" t="s">
        <v>11</v>
      </c>
      <c r="H5" s="6" t="s">
        <v>36</v>
      </c>
      <c r="I5" s="7" t="s">
        <v>12</v>
      </c>
      <c r="J5" s="54" t="s">
        <v>37</v>
      </c>
      <c r="K5" s="5" t="s">
        <v>13</v>
      </c>
      <c r="L5" s="5" t="s">
        <v>34</v>
      </c>
      <c r="M5" s="5" t="s">
        <v>35</v>
      </c>
      <c r="N5" s="5" t="s">
        <v>14</v>
      </c>
      <c r="O5" s="5" t="s">
        <v>48</v>
      </c>
      <c r="P5" s="5" t="s">
        <v>49</v>
      </c>
      <c r="Q5" s="5" t="s">
        <v>72</v>
      </c>
      <c r="R5" s="10" t="s">
        <v>73</v>
      </c>
      <c r="S5" s="169"/>
    </row>
    <row r="6" spans="1:19" ht="14.25" thickTop="1" thickBot="1" x14ac:dyDescent="0.25">
      <c r="A6" s="11">
        <v>1</v>
      </c>
      <c r="B6" s="12" t="s">
        <v>84</v>
      </c>
      <c r="C6" s="14" t="s">
        <v>71</v>
      </c>
      <c r="D6" s="55">
        <v>2700000</v>
      </c>
      <c r="E6" s="14">
        <v>7</v>
      </c>
      <c r="F6" s="56">
        <f>D6/30*E6+IF(D6&lt;=30,D6/30*E6,0)</f>
        <v>630000</v>
      </c>
      <c r="G6" s="16">
        <f>IF(D6&lt;=566700*2,67800/30*E6,0)</f>
        <v>0</v>
      </c>
      <c r="H6" s="17">
        <f>IF(C6="Vigilante",13,0)</f>
        <v>0</v>
      </c>
      <c r="I6" s="16" t="str">
        <f>IF(C6="Vigilante",2950*H6,"0")</f>
        <v>0</v>
      </c>
      <c r="J6" s="57">
        <f>IF(C6="Secretaria",8,0)</f>
        <v>0</v>
      </c>
      <c r="K6" s="16">
        <f>IF(C6="Secretaria",2361*1.75*J6,0)</f>
        <v>0</v>
      </c>
      <c r="L6" s="16">
        <f>IF(K6&gt;1,4132*K6,0)</f>
        <v>0</v>
      </c>
      <c r="M6" s="56">
        <f>SUM(F6:L6)</f>
        <v>630000</v>
      </c>
      <c r="N6" s="16">
        <f>IF(D6&lt;566700*2,M6-G6*4%,0)</f>
        <v>0</v>
      </c>
      <c r="O6" s="16">
        <f>IF(C6="Director",M6-G6*4%,0)</f>
        <v>630000</v>
      </c>
      <c r="P6" s="16">
        <f>IF(C6="Director",150/30*E6,0)</f>
        <v>35</v>
      </c>
      <c r="Q6" s="16" t="str">
        <f>IF(C6="Director","4.5%","4.5%")</f>
        <v>4.5%</v>
      </c>
      <c r="R6" s="58">
        <f>SUM(N6:Q6)</f>
        <v>630035</v>
      </c>
      <c r="S6" s="59">
        <f>SUM(M6-R6)</f>
        <v>-35</v>
      </c>
    </row>
    <row r="7" spans="1:19" ht="14.25" thickTop="1" thickBot="1" x14ac:dyDescent="0.25">
      <c r="A7" s="22">
        <v>2</v>
      </c>
      <c r="B7" s="23" t="s">
        <v>85</v>
      </c>
      <c r="C7" s="16" t="s">
        <v>52</v>
      </c>
      <c r="D7" s="24">
        <v>566700</v>
      </c>
      <c r="E7" s="14">
        <v>7</v>
      </c>
      <c r="F7" s="56">
        <f>D7/30*E7+IF(D7&lt;=30,D7/30*E7,0)</f>
        <v>132230</v>
      </c>
      <c r="G7" s="16">
        <f>IF(D7&lt;=566700*2,67800/30*E7,0)</f>
        <v>15820</v>
      </c>
      <c r="H7" s="17">
        <f>IF(C7="Vigilante",13,0)</f>
        <v>13</v>
      </c>
      <c r="I7" s="16">
        <f>IF(C7="Vigilante",2950*H7,"0")</f>
        <v>38350</v>
      </c>
      <c r="J7" s="57">
        <f>IF(C7="Secretaria",8,0)</f>
        <v>0</v>
      </c>
      <c r="K7" s="16">
        <f>IF(C7="Secretaria",2361*1.75*J7,0)</f>
        <v>0</v>
      </c>
      <c r="L7" s="16">
        <f>IF(K7&gt;1,4132*K7,0)</f>
        <v>0</v>
      </c>
      <c r="M7" s="56">
        <f>SUM(F7:L7)</f>
        <v>186413</v>
      </c>
      <c r="N7" s="16">
        <f>IF(D7&lt;566700*2,M7-G7*4%,0)</f>
        <v>185780.2</v>
      </c>
      <c r="O7" s="16">
        <f>IF(C7="Director",M7-G7*4%,0)</f>
        <v>0</v>
      </c>
      <c r="P7" s="16">
        <f>IF(C7="Director",150/30*E7,0)</f>
        <v>0</v>
      </c>
      <c r="Q7" s="16" t="str">
        <f>IF(C7="Director","4.5%","4.5%")</f>
        <v>4.5%</v>
      </c>
      <c r="R7" s="58">
        <f>SUM(N7:Q7)</f>
        <v>185780.2</v>
      </c>
      <c r="S7" s="60">
        <f>SUM(M7-R7)</f>
        <v>632.79999999998836</v>
      </c>
    </row>
    <row r="8" spans="1:19" ht="13.5" thickTop="1" x14ac:dyDescent="0.2">
      <c r="A8" s="22">
        <v>3</v>
      </c>
      <c r="B8" s="26" t="s">
        <v>86</v>
      </c>
      <c r="C8" s="16" t="s">
        <v>53</v>
      </c>
      <c r="D8" s="24">
        <v>730000</v>
      </c>
      <c r="E8" s="14">
        <v>7</v>
      </c>
      <c r="F8" s="56">
        <f>D8/30*E8+IF(D8&lt;=30,D8/30*E8,0)</f>
        <v>170333.33333333331</v>
      </c>
      <c r="G8" s="16">
        <f>IF(D8&lt;=566700*2,67800/30*E8,0)</f>
        <v>15820</v>
      </c>
      <c r="H8" s="17">
        <f>IF(C8="Vigilante",13,0)</f>
        <v>0</v>
      </c>
      <c r="I8" s="16" t="str">
        <f>IF(C8="Vigilante",2950*H8,"0")</f>
        <v>0</v>
      </c>
      <c r="J8" s="57">
        <f>IF(C8="Secretaria",8,0)</f>
        <v>8</v>
      </c>
      <c r="K8" s="16">
        <f>IF(C8="Secretaria",2361*1.75*J8,0)</f>
        <v>33054</v>
      </c>
      <c r="L8" s="16">
        <f>IF(K8&gt;1,4132*K8,0)</f>
        <v>136579128</v>
      </c>
      <c r="M8" s="56">
        <f>SUM(F8:L8)</f>
        <v>136798343.33333334</v>
      </c>
      <c r="N8" s="16">
        <f>IF(D8&lt;566700*2,M8-G8*4%,0)</f>
        <v>136797710.53333333</v>
      </c>
      <c r="O8" s="16">
        <f>IF(C8="Director",M8-G8*4%,0)</f>
        <v>0</v>
      </c>
      <c r="P8" s="16">
        <f>IF(C8="Director",150/30*E8,0)</f>
        <v>0</v>
      </c>
      <c r="Q8" s="16" t="str">
        <f>IF(C8="Director","4.5%","4.5%")</f>
        <v>4.5%</v>
      </c>
      <c r="R8" s="58">
        <f>SUM(N8:Q8)</f>
        <v>136797710.53333333</v>
      </c>
      <c r="S8" s="60">
        <f>SUM(M8-R8)</f>
        <v>632.80000001192093</v>
      </c>
    </row>
    <row r="9" spans="1:19" ht="13.5" thickBot="1" x14ac:dyDescent="0.25">
      <c r="A9" s="61" t="s">
        <v>30</v>
      </c>
      <c r="B9" s="62"/>
      <c r="C9" s="63"/>
      <c r="D9" s="64"/>
      <c r="E9" s="65"/>
      <c r="F9" s="66">
        <f>SUM(G6:G8)</f>
        <v>31640</v>
      </c>
      <c r="G9" s="66">
        <f>SUM(G6:G8)</f>
        <v>31640</v>
      </c>
      <c r="H9" s="66">
        <f>SUM(H6:H8)</f>
        <v>13</v>
      </c>
      <c r="I9" s="67">
        <f>SUM(I6:I8)</f>
        <v>38350</v>
      </c>
      <c r="J9" s="67">
        <f>SUM(J6:J8)</f>
        <v>8</v>
      </c>
      <c r="K9" s="67">
        <f t="shared" ref="K9:S9" si="0">SUM(K6:K8)</f>
        <v>33054</v>
      </c>
      <c r="L9" s="67">
        <f t="shared" si="0"/>
        <v>136579128</v>
      </c>
      <c r="M9" s="68">
        <f t="shared" si="0"/>
        <v>137614756.33333334</v>
      </c>
      <c r="N9" s="67">
        <f t="shared" si="0"/>
        <v>136983490.73333332</v>
      </c>
      <c r="O9" s="67">
        <f t="shared" si="0"/>
        <v>630000</v>
      </c>
      <c r="P9" s="67">
        <f t="shared" si="0"/>
        <v>35</v>
      </c>
      <c r="Q9" s="67">
        <f t="shared" si="0"/>
        <v>0</v>
      </c>
      <c r="R9" s="69">
        <f t="shared" si="0"/>
        <v>137613525.73333332</v>
      </c>
      <c r="S9" s="69">
        <f t="shared" si="0"/>
        <v>1230.6000000119093</v>
      </c>
    </row>
    <row r="10" spans="1:19" ht="15" customHeight="1" thickTop="1" thickBot="1" x14ac:dyDescent="0.25">
      <c r="A10" s="249"/>
      <c r="B10" s="250"/>
      <c r="C10" s="213" t="s">
        <v>15</v>
      </c>
      <c r="D10" s="214"/>
      <c r="E10" s="214"/>
      <c r="F10" s="214"/>
      <c r="G10" s="214"/>
      <c r="H10" s="215"/>
      <c r="I10" s="146" t="s">
        <v>16</v>
      </c>
      <c r="J10" s="251"/>
      <c r="K10" s="252"/>
      <c r="L10" s="252"/>
      <c r="M10" s="252"/>
      <c r="N10" s="254" t="s">
        <v>17</v>
      </c>
      <c r="O10" s="254"/>
      <c r="P10" s="254"/>
      <c r="Q10" s="255" t="s">
        <v>18</v>
      </c>
      <c r="R10" s="255"/>
      <c r="S10" s="255"/>
    </row>
    <row r="11" spans="1:19" ht="14.25" thickTop="1" thickBot="1" x14ac:dyDescent="0.25">
      <c r="A11" s="256"/>
      <c r="B11" s="257"/>
      <c r="C11" s="216"/>
      <c r="D11" s="217"/>
      <c r="E11" s="217"/>
      <c r="F11" s="217"/>
      <c r="G11" s="217"/>
      <c r="H11" s="218"/>
      <c r="I11" s="253"/>
      <c r="J11" s="252"/>
      <c r="K11" s="252"/>
      <c r="L11" s="252"/>
      <c r="M11" s="252"/>
      <c r="N11" s="254"/>
      <c r="O11" s="254"/>
      <c r="P11" s="254"/>
      <c r="Q11" s="255"/>
      <c r="R11" s="255"/>
      <c r="S11" s="255"/>
    </row>
    <row r="12" spans="1:19" ht="15" customHeight="1" thickTop="1" thickBot="1" x14ac:dyDescent="0.25">
      <c r="A12" s="258"/>
      <c r="B12" s="259"/>
      <c r="C12" s="219" t="s">
        <v>10</v>
      </c>
      <c r="D12" s="220"/>
      <c r="E12" s="221"/>
      <c r="F12" s="262">
        <f>SUM(F6:F8)</f>
        <v>932563.33333333326</v>
      </c>
      <c r="G12" s="262"/>
      <c r="H12" s="263"/>
      <c r="I12" s="192" t="s">
        <v>19</v>
      </c>
      <c r="J12" s="192"/>
      <c r="K12" s="192"/>
      <c r="L12" s="265">
        <v>0</v>
      </c>
      <c r="M12" s="266"/>
      <c r="N12" s="267" t="s">
        <v>20</v>
      </c>
      <c r="O12" s="268">
        <f>M9*2%</f>
        <v>2752295.1266666669</v>
      </c>
      <c r="P12" s="269"/>
      <c r="Q12" s="270" t="s">
        <v>21</v>
      </c>
      <c r="R12" s="271"/>
      <c r="S12" s="272">
        <f>M9*8.33%</f>
        <v>11463309.202566667</v>
      </c>
    </row>
    <row r="13" spans="1:19" ht="14.25" thickTop="1" thickBot="1" x14ac:dyDescent="0.25">
      <c r="A13" s="258"/>
      <c r="B13" s="259"/>
      <c r="C13" s="222"/>
      <c r="D13" s="223"/>
      <c r="E13" s="224"/>
      <c r="F13" s="264"/>
      <c r="G13" s="264"/>
      <c r="H13" s="208"/>
      <c r="I13" s="192"/>
      <c r="J13" s="192"/>
      <c r="K13" s="192"/>
      <c r="L13" s="265"/>
      <c r="M13" s="266"/>
      <c r="N13" s="267"/>
      <c r="O13" s="268"/>
      <c r="P13" s="269"/>
      <c r="Q13" s="270"/>
      <c r="R13" s="271"/>
      <c r="S13" s="273"/>
    </row>
    <row r="14" spans="1:19" ht="15" customHeight="1" thickTop="1" thickBot="1" x14ac:dyDescent="0.25">
      <c r="A14" s="258"/>
      <c r="B14" s="259"/>
      <c r="C14" s="219" t="s">
        <v>11</v>
      </c>
      <c r="D14" s="220"/>
      <c r="E14" s="221"/>
      <c r="F14" s="274">
        <f>SUM(G6:G8)</f>
        <v>31640</v>
      </c>
      <c r="G14" s="275"/>
      <c r="H14" s="275"/>
      <c r="I14" s="192" t="s">
        <v>14</v>
      </c>
      <c r="J14" s="192"/>
      <c r="K14" s="192"/>
      <c r="L14" s="276">
        <f>SUM(N6:N8)</f>
        <v>136983490.73333332</v>
      </c>
      <c r="M14" s="277"/>
      <c r="N14" s="278" t="s">
        <v>22</v>
      </c>
      <c r="O14" s="282">
        <f>M9*3%</f>
        <v>4128442.69</v>
      </c>
      <c r="P14" s="283"/>
      <c r="Q14" s="284" t="s">
        <v>23</v>
      </c>
      <c r="R14" s="285"/>
      <c r="S14" s="286">
        <f>M9*8.33%</f>
        <v>11463309.202566667</v>
      </c>
    </row>
    <row r="15" spans="1:19" ht="14.25" thickTop="1" thickBot="1" x14ac:dyDescent="0.25">
      <c r="A15" s="258"/>
      <c r="B15" s="259"/>
      <c r="C15" s="222"/>
      <c r="D15" s="223"/>
      <c r="E15" s="224"/>
      <c r="F15" s="274"/>
      <c r="G15" s="275"/>
      <c r="H15" s="275"/>
      <c r="I15" s="192"/>
      <c r="J15" s="192"/>
      <c r="K15" s="192"/>
      <c r="L15" s="276"/>
      <c r="M15" s="277"/>
      <c r="N15" s="278"/>
      <c r="O15" s="282"/>
      <c r="P15" s="283"/>
      <c r="Q15" s="284"/>
      <c r="R15" s="285"/>
      <c r="S15" s="287"/>
    </row>
    <row r="16" spans="1:19" ht="14.25" thickTop="1" thickBot="1" x14ac:dyDescent="0.25">
      <c r="A16" s="258"/>
      <c r="B16" s="259"/>
      <c r="C16" s="219" t="s">
        <v>12</v>
      </c>
      <c r="D16" s="220"/>
      <c r="E16" s="221"/>
      <c r="F16" s="274">
        <f>SUM(I6:I8)</f>
        <v>38350</v>
      </c>
      <c r="G16" s="275"/>
      <c r="H16" s="275"/>
      <c r="I16" s="192" t="s">
        <v>24</v>
      </c>
      <c r="J16" s="192"/>
      <c r="K16" s="192"/>
      <c r="L16" s="276">
        <f>SUM(O6:O8)</f>
        <v>630000</v>
      </c>
      <c r="M16" s="277"/>
      <c r="N16" s="279" t="s">
        <v>25</v>
      </c>
      <c r="O16" s="280">
        <f>M9*4%</f>
        <v>5504590.2533333339</v>
      </c>
      <c r="P16" s="281"/>
      <c r="Q16" s="288" t="s">
        <v>26</v>
      </c>
      <c r="R16" s="278"/>
      <c r="S16" s="292">
        <f>M9*12%</f>
        <v>16513770.76</v>
      </c>
    </row>
    <row r="17" spans="1:19" ht="14.25" thickTop="1" thickBot="1" x14ac:dyDescent="0.25">
      <c r="A17" s="258"/>
      <c r="B17" s="259"/>
      <c r="C17" s="222"/>
      <c r="D17" s="223"/>
      <c r="E17" s="224"/>
      <c r="F17" s="274"/>
      <c r="G17" s="275"/>
      <c r="H17" s="275"/>
      <c r="I17" s="192"/>
      <c r="J17" s="192"/>
      <c r="K17" s="192"/>
      <c r="L17" s="276"/>
      <c r="M17" s="277"/>
      <c r="N17" s="279"/>
      <c r="O17" s="280"/>
      <c r="P17" s="281"/>
      <c r="Q17" s="288"/>
      <c r="R17" s="278"/>
      <c r="S17" s="276"/>
    </row>
    <row r="18" spans="1:19" ht="14.25" thickTop="1" thickBot="1" x14ac:dyDescent="0.25">
      <c r="A18" s="258"/>
      <c r="B18" s="259"/>
      <c r="C18" s="225" t="s">
        <v>13</v>
      </c>
      <c r="D18" s="226"/>
      <c r="E18" s="227"/>
      <c r="F18" s="293">
        <f>SUM(K6:K8)</f>
        <v>33054</v>
      </c>
      <c r="G18" s="200"/>
      <c r="H18" s="200"/>
      <c r="I18" s="192" t="s">
        <v>27</v>
      </c>
      <c r="J18" s="192"/>
      <c r="K18" s="192"/>
      <c r="L18" s="294">
        <v>0</v>
      </c>
      <c r="M18" s="295"/>
      <c r="N18" s="278" t="s">
        <v>14</v>
      </c>
      <c r="O18" s="280">
        <f>M9*12.5%</f>
        <v>17201844.541666668</v>
      </c>
      <c r="P18" s="281"/>
      <c r="Q18" s="288"/>
      <c r="R18" s="278"/>
      <c r="S18" s="276"/>
    </row>
    <row r="19" spans="1:19" ht="14.25" thickTop="1" thickBot="1" x14ac:dyDescent="0.25">
      <c r="A19" s="258"/>
      <c r="B19" s="259"/>
      <c r="C19" s="228"/>
      <c r="D19" s="229"/>
      <c r="E19" s="230"/>
      <c r="F19" s="293"/>
      <c r="G19" s="200"/>
      <c r="H19" s="200"/>
      <c r="I19" s="192"/>
      <c r="J19" s="192"/>
      <c r="K19" s="192"/>
      <c r="L19" s="294"/>
      <c r="M19" s="295"/>
      <c r="N19" s="278"/>
      <c r="O19" s="280"/>
      <c r="P19" s="281"/>
      <c r="Q19" s="296" t="s">
        <v>28</v>
      </c>
      <c r="R19" s="297"/>
      <c r="S19" s="298">
        <f>M9*4.16%</f>
        <v>5724773.863466667</v>
      </c>
    </row>
    <row r="20" spans="1:19" ht="14.25" thickTop="1" thickBot="1" x14ac:dyDescent="0.25">
      <c r="A20" s="258"/>
      <c r="B20" s="259"/>
      <c r="C20" s="231"/>
      <c r="D20" s="232"/>
      <c r="E20" s="233"/>
      <c r="F20" s="293"/>
      <c r="G20" s="200"/>
      <c r="H20" s="200"/>
      <c r="I20" s="192" t="s">
        <v>29</v>
      </c>
      <c r="J20" s="192"/>
      <c r="K20" s="192"/>
      <c r="L20" s="305">
        <f>SUM(Q6:Q8)</f>
        <v>0</v>
      </c>
      <c r="M20" s="306"/>
      <c r="N20" s="279" t="s">
        <v>24</v>
      </c>
      <c r="O20" s="307">
        <f>G9*16%</f>
        <v>5062.4000000000005</v>
      </c>
      <c r="P20" s="308"/>
      <c r="Q20" s="296"/>
      <c r="R20" s="297"/>
      <c r="S20" s="299"/>
    </row>
    <row r="21" spans="1:19" ht="14.25" thickTop="1" thickBot="1" x14ac:dyDescent="0.25">
      <c r="A21" s="258"/>
      <c r="B21" s="259"/>
      <c r="C21" s="219" t="s">
        <v>30</v>
      </c>
      <c r="D21" s="220"/>
      <c r="E21" s="221"/>
      <c r="F21" s="290">
        <f>SUM(F12:H20)</f>
        <v>1035607.3333333333</v>
      </c>
      <c r="G21" s="169"/>
      <c r="H21" s="169"/>
      <c r="I21" s="192"/>
      <c r="J21" s="192"/>
      <c r="K21" s="192"/>
      <c r="L21" s="305"/>
      <c r="M21" s="306"/>
      <c r="N21" s="279"/>
      <c r="O21" s="307"/>
      <c r="P21" s="308"/>
      <c r="Q21" s="309" t="s">
        <v>30</v>
      </c>
      <c r="R21" s="310"/>
      <c r="S21" s="289">
        <f>SUM(S12:S20)</f>
        <v>45165163.0286</v>
      </c>
    </row>
    <row r="22" spans="1:19" ht="14.25" thickTop="1" thickBot="1" x14ac:dyDescent="0.25">
      <c r="A22" s="260"/>
      <c r="B22" s="261"/>
      <c r="C22" s="222"/>
      <c r="D22" s="223"/>
      <c r="E22" s="224"/>
      <c r="F22" s="290"/>
      <c r="G22" s="169"/>
      <c r="H22" s="169"/>
      <c r="I22" s="209" t="s">
        <v>30</v>
      </c>
      <c r="J22" s="209"/>
      <c r="K22" s="209"/>
      <c r="L22" s="290">
        <f>SUM(L12:M21)</f>
        <v>137613490.73333332</v>
      </c>
      <c r="M22" s="291"/>
      <c r="N22" s="300" t="s">
        <v>30</v>
      </c>
      <c r="O22" s="274">
        <f>SUM(O12:P21)</f>
        <v>29592235.011666667</v>
      </c>
      <c r="P22" s="301"/>
      <c r="Q22" s="309"/>
      <c r="R22" s="310"/>
      <c r="S22" s="289"/>
    </row>
    <row r="23" spans="1:19" ht="14.25" thickTop="1" thickBot="1" x14ac:dyDescent="0.25">
      <c r="A23" s="36" t="s">
        <v>31</v>
      </c>
      <c r="B23" s="70"/>
      <c r="C23" s="71"/>
      <c r="D23" s="72" t="s">
        <v>32</v>
      </c>
      <c r="E23" s="302"/>
      <c r="F23" s="303"/>
      <c r="G23" s="303"/>
      <c r="H23" s="303"/>
      <c r="I23" s="209"/>
      <c r="J23" s="209"/>
      <c r="K23" s="209"/>
      <c r="L23" s="290"/>
      <c r="M23" s="291"/>
      <c r="N23" s="300"/>
      <c r="O23" s="274"/>
      <c r="P23" s="301"/>
      <c r="Q23" s="304" t="s">
        <v>33</v>
      </c>
      <c r="R23" s="304"/>
      <c r="S23" s="304"/>
    </row>
    <row r="24" spans="1:19" ht="14.25" thickTop="1" thickBot="1" x14ac:dyDescent="0.25"/>
    <row r="25" spans="1:19" ht="18.75" thickTop="1" x14ac:dyDescent="0.25">
      <c r="G25" s="73" t="s">
        <v>45</v>
      </c>
      <c r="H25" s="74"/>
      <c r="I25" s="74"/>
      <c r="J25" s="74"/>
      <c r="K25" s="74"/>
      <c r="L25" s="75"/>
    </row>
    <row r="26" spans="1:19" x14ac:dyDescent="0.2">
      <c r="G26" s="76" t="s">
        <v>56</v>
      </c>
      <c r="H26" s="77"/>
      <c r="I26" s="77" t="s">
        <v>57</v>
      </c>
      <c r="J26" s="77"/>
      <c r="K26" s="77"/>
      <c r="L26" s="78"/>
    </row>
    <row r="27" spans="1:19" x14ac:dyDescent="0.2">
      <c r="G27" s="76" t="s">
        <v>58</v>
      </c>
      <c r="H27" s="77"/>
      <c r="I27" s="77"/>
      <c r="J27" s="77"/>
      <c r="K27" s="77"/>
      <c r="L27" s="78"/>
    </row>
    <row r="28" spans="1:19" x14ac:dyDescent="0.2">
      <c r="G28" s="76" t="s">
        <v>59</v>
      </c>
      <c r="H28" s="77"/>
      <c r="I28" s="77"/>
      <c r="J28" s="77"/>
      <c r="K28" s="77"/>
      <c r="L28" s="78"/>
    </row>
    <row r="29" spans="1:19" x14ac:dyDescent="0.2">
      <c r="G29" s="76" t="s">
        <v>60</v>
      </c>
      <c r="H29" s="77"/>
      <c r="I29" s="77"/>
      <c r="J29" s="77"/>
      <c r="K29" s="77"/>
      <c r="L29" s="78"/>
    </row>
    <row r="30" spans="1:19" x14ac:dyDescent="0.2">
      <c r="G30" s="76" t="s">
        <v>39</v>
      </c>
      <c r="H30" s="77" t="s">
        <v>61</v>
      </c>
      <c r="I30" s="77"/>
      <c r="J30" s="77"/>
      <c r="K30" s="77"/>
      <c r="L30" s="78"/>
    </row>
    <row r="31" spans="1:19" ht="13.5" thickBot="1" x14ac:dyDescent="0.25">
      <c r="G31" s="79"/>
      <c r="H31" s="80" t="s">
        <v>62</v>
      </c>
      <c r="I31" s="80"/>
      <c r="J31" s="80"/>
      <c r="K31" s="80"/>
      <c r="L31" s="81"/>
    </row>
    <row r="32" spans="1:19" ht="13.5" thickTop="1" x14ac:dyDescent="0.2"/>
  </sheetData>
  <mergeCells count="64">
    <mergeCell ref="N20:N21"/>
    <mergeCell ref="O20:P21"/>
    <mergeCell ref="F21:H22"/>
    <mergeCell ref="Q21:R22"/>
    <mergeCell ref="S21:S22"/>
    <mergeCell ref="I22:K23"/>
    <mergeCell ref="L22:M23"/>
    <mergeCell ref="S16:S18"/>
    <mergeCell ref="F18:H20"/>
    <mergeCell ref="I18:K19"/>
    <mergeCell ref="L18:M19"/>
    <mergeCell ref="N18:N19"/>
    <mergeCell ref="O18:P19"/>
    <mergeCell ref="Q19:R20"/>
    <mergeCell ref="S19:S20"/>
    <mergeCell ref="I20:K21"/>
    <mergeCell ref="N22:N23"/>
    <mergeCell ref="O22:P23"/>
    <mergeCell ref="E23:H23"/>
    <mergeCell ref="Q23:S23"/>
    <mergeCell ref="N16:N17"/>
    <mergeCell ref="O16:P17"/>
    <mergeCell ref="O14:P15"/>
    <mergeCell ref="Q14:R15"/>
    <mergeCell ref="S14:S15"/>
    <mergeCell ref="Q16:R18"/>
    <mergeCell ref="N10:P11"/>
    <mergeCell ref="Q10:S11"/>
    <mergeCell ref="A11:B22"/>
    <mergeCell ref="F12:H13"/>
    <mergeCell ref="I12:K13"/>
    <mergeCell ref="L12:M13"/>
    <mergeCell ref="N12:N13"/>
    <mergeCell ref="O12:P13"/>
    <mergeCell ref="Q12:R13"/>
    <mergeCell ref="S12:S13"/>
    <mergeCell ref="F14:H15"/>
    <mergeCell ref="I14:K15"/>
    <mergeCell ref="L14:M15"/>
    <mergeCell ref="N14:N15"/>
    <mergeCell ref="F16:H17"/>
    <mergeCell ref="I16:K17"/>
    <mergeCell ref="L1:S3"/>
    <mergeCell ref="A4:A5"/>
    <mergeCell ref="B4:B5"/>
    <mergeCell ref="D4:D5"/>
    <mergeCell ref="E4:E5"/>
    <mergeCell ref="F4:L4"/>
    <mergeCell ref="M4:R4"/>
    <mergeCell ref="S4:S5"/>
    <mergeCell ref="C21:E22"/>
    <mergeCell ref="A1:D3"/>
    <mergeCell ref="E1:K1"/>
    <mergeCell ref="F2:K2"/>
    <mergeCell ref="G3:K3"/>
    <mergeCell ref="A10:B10"/>
    <mergeCell ref="I10:M11"/>
    <mergeCell ref="L16:M17"/>
    <mergeCell ref="L20:M21"/>
    <mergeCell ref="C10:H11"/>
    <mergeCell ref="C12:E13"/>
    <mergeCell ref="C14:E15"/>
    <mergeCell ref="C16:E17"/>
    <mergeCell ref="C18:E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34"/>
  <sheetViews>
    <sheetView tabSelected="1" zoomScaleNormal="100" workbookViewId="0">
      <selection activeCell="A6" sqref="A6"/>
    </sheetView>
  </sheetViews>
  <sheetFormatPr baseColWidth="10" defaultRowHeight="12.75" x14ac:dyDescent="0.2"/>
  <cols>
    <col min="1" max="1" width="11.5703125" style="1" bestFit="1" customWidth="1"/>
    <col min="2" max="3" width="25" style="1" customWidth="1"/>
    <col min="4" max="4" width="13.85546875" style="1" customWidth="1"/>
    <col min="5" max="5" width="11.5703125" style="1" bestFit="1" customWidth="1"/>
    <col min="6" max="6" width="13.7109375" style="1" customWidth="1"/>
    <col min="7" max="7" width="16.28515625" style="1" customWidth="1"/>
    <col min="8" max="11" width="11.5703125" style="1" bestFit="1" customWidth="1"/>
    <col min="12" max="12" width="14.140625" style="1" customWidth="1"/>
    <col min="13" max="13" width="17" style="1" customWidth="1"/>
    <col min="14" max="14" width="23.5703125" style="1" customWidth="1"/>
    <col min="15" max="15" width="15.42578125" style="1" customWidth="1"/>
    <col min="16" max="16" width="14.28515625" style="1" customWidth="1"/>
    <col min="17" max="17" width="17.28515625" style="1" customWidth="1"/>
    <col min="18" max="18" width="15.7109375" style="1" bestFit="1" customWidth="1"/>
    <col min="19" max="19" width="15.7109375" style="1" customWidth="1"/>
    <col min="20" max="20" width="0.7109375" style="1" hidden="1" customWidth="1"/>
    <col min="21" max="21" width="11.42578125" style="1" hidden="1" customWidth="1"/>
    <col min="22" max="16384" width="11.42578125" style="1"/>
  </cols>
  <sheetData>
    <row r="1" spans="1:22" ht="15.75" thickTop="1" thickBot="1" x14ac:dyDescent="0.25">
      <c r="A1" s="372" t="s">
        <v>47</v>
      </c>
      <c r="B1" s="372"/>
      <c r="C1" s="372"/>
      <c r="D1" s="372"/>
      <c r="E1" s="373" t="s">
        <v>0</v>
      </c>
      <c r="F1" s="373"/>
      <c r="G1" s="373"/>
      <c r="H1" s="373"/>
      <c r="I1" s="373"/>
      <c r="J1" s="373"/>
      <c r="K1" s="373"/>
      <c r="L1" s="373"/>
      <c r="M1" s="373"/>
      <c r="N1" s="311" t="s">
        <v>1</v>
      </c>
      <c r="O1" s="311"/>
      <c r="P1" s="311"/>
      <c r="Q1" s="311"/>
      <c r="R1" s="311"/>
      <c r="S1" s="311"/>
      <c r="T1" s="311"/>
      <c r="U1" s="312"/>
      <c r="V1" s="82"/>
    </row>
    <row r="2" spans="1:22" ht="15.75" thickTop="1" thickBot="1" x14ac:dyDescent="0.25">
      <c r="A2" s="372"/>
      <c r="B2" s="372"/>
      <c r="C2" s="372"/>
      <c r="D2" s="372"/>
      <c r="E2" s="116" t="s">
        <v>2</v>
      </c>
      <c r="F2" s="374" t="s">
        <v>74</v>
      </c>
      <c r="G2" s="374"/>
      <c r="H2" s="374"/>
      <c r="I2" s="374"/>
      <c r="J2" s="374"/>
      <c r="K2" s="374"/>
      <c r="L2" s="374"/>
      <c r="M2" s="375"/>
      <c r="N2" s="313"/>
      <c r="O2" s="313"/>
      <c r="P2" s="313"/>
      <c r="Q2" s="313"/>
      <c r="R2" s="313"/>
      <c r="S2" s="313"/>
      <c r="T2" s="313"/>
      <c r="U2" s="314"/>
      <c r="V2" s="82"/>
    </row>
    <row r="3" spans="1:22" ht="15.75" thickTop="1" thickBot="1" x14ac:dyDescent="0.25">
      <c r="A3" s="372"/>
      <c r="B3" s="372"/>
      <c r="C3" s="372"/>
      <c r="D3" s="372"/>
      <c r="E3" s="117" t="s">
        <v>87</v>
      </c>
      <c r="F3" s="118"/>
      <c r="G3" s="376" t="s">
        <v>75</v>
      </c>
      <c r="H3" s="376"/>
      <c r="I3" s="376"/>
      <c r="J3" s="376"/>
      <c r="K3" s="376"/>
      <c r="L3" s="376"/>
      <c r="M3" s="377"/>
      <c r="N3" s="315"/>
      <c r="O3" s="315"/>
      <c r="P3" s="315"/>
      <c r="Q3" s="315"/>
      <c r="R3" s="315"/>
      <c r="S3" s="315"/>
      <c r="T3" s="315"/>
      <c r="U3" s="316"/>
      <c r="V3" s="82"/>
    </row>
    <row r="4" spans="1:22" ht="18" customHeight="1" thickTop="1" thickBot="1" x14ac:dyDescent="0.25">
      <c r="A4" s="352" t="s">
        <v>3</v>
      </c>
      <c r="B4" s="385" t="s">
        <v>4</v>
      </c>
      <c r="C4" s="389" t="s">
        <v>77</v>
      </c>
      <c r="D4" s="385" t="s">
        <v>5</v>
      </c>
      <c r="E4" s="386" t="s">
        <v>6</v>
      </c>
      <c r="F4" s="387" t="s">
        <v>7</v>
      </c>
      <c r="G4" s="387"/>
      <c r="H4" s="388"/>
      <c r="I4" s="388"/>
      <c r="J4" s="388"/>
      <c r="K4" s="388"/>
      <c r="L4" s="388"/>
      <c r="M4" s="387"/>
      <c r="N4" s="387"/>
      <c r="O4" s="369" t="s">
        <v>8</v>
      </c>
      <c r="P4" s="370"/>
      <c r="Q4" s="370"/>
      <c r="R4" s="371"/>
      <c r="S4" s="83"/>
      <c r="T4" s="83"/>
      <c r="U4" s="84"/>
      <c r="V4" s="82"/>
    </row>
    <row r="5" spans="1:22" ht="51.75" customHeight="1" thickTop="1" thickBot="1" x14ac:dyDescent="0.25">
      <c r="A5" s="352"/>
      <c r="B5" s="385"/>
      <c r="C5" s="386"/>
      <c r="D5" s="385"/>
      <c r="E5" s="385"/>
      <c r="F5" s="85" t="s">
        <v>10</v>
      </c>
      <c r="G5" s="86" t="s">
        <v>11</v>
      </c>
      <c r="H5" s="87" t="s">
        <v>37</v>
      </c>
      <c r="I5" s="86" t="s">
        <v>13</v>
      </c>
      <c r="J5" s="86" t="s">
        <v>76</v>
      </c>
      <c r="K5" s="86" t="s">
        <v>34</v>
      </c>
      <c r="L5" s="86" t="s">
        <v>79</v>
      </c>
      <c r="M5" s="86" t="s">
        <v>35</v>
      </c>
      <c r="N5" s="86" t="s">
        <v>14</v>
      </c>
      <c r="O5" s="86" t="s">
        <v>48</v>
      </c>
      <c r="P5" s="86" t="s">
        <v>72</v>
      </c>
      <c r="Q5" s="88" t="s">
        <v>73</v>
      </c>
      <c r="R5" s="89" t="s">
        <v>9</v>
      </c>
      <c r="S5" s="82"/>
    </row>
    <row r="6" spans="1:22" ht="15.75" thickTop="1" thickBot="1" x14ac:dyDescent="0.25">
      <c r="A6" s="90">
        <v>1</v>
      </c>
      <c r="B6" s="12" t="s">
        <v>84</v>
      </c>
      <c r="C6" s="91" t="s">
        <v>78</v>
      </c>
      <c r="D6" s="92">
        <v>2500000</v>
      </c>
      <c r="E6" s="93">
        <v>30</v>
      </c>
      <c r="F6" s="94">
        <f>D6/30*E6+IF(D6&lt;=30,E6/30*E6,0)</f>
        <v>2500000</v>
      </c>
      <c r="G6" s="95">
        <f>IF(D6&lt;566700*2,67800/30*E6,0)</f>
        <v>0</v>
      </c>
      <c r="H6" s="96">
        <f>IF(C6="Secretaria",15,0)</f>
        <v>0</v>
      </c>
      <c r="I6" s="97">
        <f>IF(H6&gt;1,2361*1.75*H6,0)</f>
        <v>0</v>
      </c>
      <c r="J6" s="97">
        <f>IF(C6="Vigilante",8,0)</f>
        <v>0</v>
      </c>
      <c r="K6" s="95">
        <f>IF(J6&gt;1,4132*J6,0)</f>
        <v>0</v>
      </c>
      <c r="L6" s="95">
        <f>IF(C6="Vendedor",12560000*1%/100,0)</f>
        <v>1256</v>
      </c>
      <c r="M6" s="98">
        <f>SUM(F6:L6)</f>
        <v>2501256</v>
      </c>
      <c r="N6" s="95">
        <f>IF(D6&lt;566700*2,M6-G6*4%,0)</f>
        <v>0</v>
      </c>
      <c r="O6" s="95">
        <f>IF(C6="Vendedor",M6-G6*4%,M6-G6*4%)</f>
        <v>2501256</v>
      </c>
      <c r="P6" s="99">
        <f>IF(C6="Vendedor",2.5%,2.5%)</f>
        <v>2.5000000000000001E-2</v>
      </c>
      <c r="Q6" s="100">
        <f>SUM(N6:P6)</f>
        <v>2501256.0249999999</v>
      </c>
      <c r="R6" s="119">
        <f>SUM(M6-Q6)</f>
        <v>-2.4999999906867743E-2</v>
      </c>
      <c r="S6" s="82"/>
    </row>
    <row r="7" spans="1:22" ht="15.75" thickTop="1" thickBot="1" x14ac:dyDescent="0.25">
      <c r="A7" s="101">
        <v>2</v>
      </c>
      <c r="B7" s="23" t="s">
        <v>85</v>
      </c>
      <c r="C7" s="95" t="s">
        <v>52</v>
      </c>
      <c r="D7" s="102">
        <v>566700</v>
      </c>
      <c r="E7" s="97">
        <v>30</v>
      </c>
      <c r="F7" s="94">
        <f>D7/30*E7+IF(D7&lt;=30,E7/30*E7,0)</f>
        <v>566700</v>
      </c>
      <c r="G7" s="95">
        <f>IF(D7&lt;566700*2,67800/30*E7,0)</f>
        <v>67800</v>
      </c>
      <c r="H7" s="96">
        <f>IF(C7="Secretaria",15,0)</f>
        <v>0</v>
      </c>
      <c r="I7" s="97">
        <f>IF(H7&gt;1,2361*1.75*H7,0)</f>
        <v>0</v>
      </c>
      <c r="J7" s="97">
        <f>IF(C7="Vigilante",8,0)</f>
        <v>8</v>
      </c>
      <c r="K7" s="95">
        <f>IF(J7&gt;1,4132*J7,0)</f>
        <v>33056</v>
      </c>
      <c r="L7" s="95">
        <f>IF(C7="Vendedor",12560000*1%/100,0)</f>
        <v>0</v>
      </c>
      <c r="M7" s="95">
        <f>SUM(G7:K7)</f>
        <v>100864</v>
      </c>
      <c r="N7" s="95">
        <f>IF(D7&lt;566700*2,M7-G7*4%,0)</f>
        <v>98152</v>
      </c>
      <c r="O7" s="95">
        <f>IF(C7="Vendedor",M7-G7*4%,M7-G7*4%)</f>
        <v>98152</v>
      </c>
      <c r="P7" s="99">
        <f>IF(C7="Vendedor",2.5%,2.5%)</f>
        <v>2.5000000000000001E-2</v>
      </c>
      <c r="Q7" s="100">
        <f>SUM(N7:P7)</f>
        <v>196304.02499999999</v>
      </c>
      <c r="R7" s="119">
        <f t="shared" ref="R7:R8" si="0">SUM(M7-Q7)</f>
        <v>-95440.024999999994</v>
      </c>
      <c r="S7" s="82"/>
    </row>
    <row r="8" spans="1:22" ht="15" thickTop="1" x14ac:dyDescent="0.2">
      <c r="A8" s="101">
        <v>3</v>
      </c>
      <c r="B8" s="26" t="s">
        <v>86</v>
      </c>
      <c r="C8" s="95" t="s">
        <v>53</v>
      </c>
      <c r="D8" s="102">
        <v>730000</v>
      </c>
      <c r="E8" s="97">
        <v>30</v>
      </c>
      <c r="F8" s="94">
        <f>D8/30*E8+IF(D8&lt;=30,E8/30*E8,0)</f>
        <v>730000</v>
      </c>
      <c r="G8" s="95">
        <f>IF(D8&lt;566700*2,67800/30*E8,0)</f>
        <v>67800</v>
      </c>
      <c r="H8" s="96">
        <f>IF(C8="Secretaria",15,0)</f>
        <v>15</v>
      </c>
      <c r="I8" s="97">
        <f>IF(H8&gt;1,2361*1.75*H8,0)</f>
        <v>61976.25</v>
      </c>
      <c r="J8" s="97">
        <f>IF(C8="Vigilante",8,0)</f>
        <v>0</v>
      </c>
      <c r="K8" s="95">
        <f>IF(J8&gt;1,4132*J8,0)</f>
        <v>0</v>
      </c>
      <c r="L8" s="95">
        <f>IF(C8="Vendedor",12560000*1%/100,0)</f>
        <v>0</v>
      </c>
      <c r="M8" s="95">
        <f>SUM(G8:K8)</f>
        <v>129791.25</v>
      </c>
      <c r="N8" s="95">
        <f>IF(D8&lt;566700*2,M8-G8*4%,0)</f>
        <v>127079.25</v>
      </c>
      <c r="O8" s="95">
        <f>IF(C8="Vendedor",M8-G8*4%,M8-G8*4%)</f>
        <v>127079.25</v>
      </c>
      <c r="P8" s="99">
        <f>IF(C8="Vendedor",2.5%,2.5%)</f>
        <v>2.5000000000000001E-2</v>
      </c>
      <c r="Q8" s="100">
        <f>SUM(N8:P8)</f>
        <v>254158.52499999999</v>
      </c>
      <c r="R8" s="119">
        <f t="shared" si="0"/>
        <v>-124367.27499999999</v>
      </c>
      <c r="S8" s="82"/>
    </row>
    <row r="9" spans="1:22" ht="15" thickBot="1" x14ac:dyDescent="0.25">
      <c r="A9" s="103" t="s">
        <v>55</v>
      </c>
      <c r="B9" s="104"/>
      <c r="C9" s="105"/>
      <c r="D9" s="112"/>
      <c r="E9" s="113"/>
      <c r="F9" s="107">
        <f>SUM(F6:F8)</f>
        <v>3796700</v>
      </c>
      <c r="G9" s="107">
        <f>SUM(G6:G8)</f>
        <v>135600</v>
      </c>
      <c r="H9" s="107">
        <f>SUM(H6:H8)</f>
        <v>15</v>
      </c>
      <c r="I9" s="106">
        <f t="shared" ref="I9:R9" si="1">SUM(I6:I8)</f>
        <v>61976.25</v>
      </c>
      <c r="J9" s="106">
        <f t="shared" si="1"/>
        <v>8</v>
      </c>
      <c r="K9" s="106">
        <f t="shared" si="1"/>
        <v>33056</v>
      </c>
      <c r="L9" s="106">
        <f t="shared" si="1"/>
        <v>1256</v>
      </c>
      <c r="M9" s="106">
        <f t="shared" si="1"/>
        <v>2731911.25</v>
      </c>
      <c r="N9" s="106">
        <f t="shared" si="1"/>
        <v>225231.25</v>
      </c>
      <c r="O9" s="106">
        <f t="shared" si="1"/>
        <v>2726487.25</v>
      </c>
      <c r="P9" s="106">
        <f t="shared" si="1"/>
        <v>7.5000000000000011E-2</v>
      </c>
      <c r="Q9" s="107">
        <f t="shared" si="1"/>
        <v>2951718.5749999997</v>
      </c>
      <c r="R9" s="120">
        <f t="shared" si="1"/>
        <v>-219807.3249999999</v>
      </c>
      <c r="S9" s="82"/>
      <c r="T9" s="35"/>
      <c r="U9" s="35"/>
    </row>
    <row r="10" spans="1:22" ht="18" customHeight="1" thickTop="1" x14ac:dyDescent="0.2">
      <c r="A10" s="396"/>
      <c r="B10" s="397"/>
      <c r="C10" s="331" t="s">
        <v>15</v>
      </c>
      <c r="D10" s="332"/>
      <c r="E10" s="332"/>
      <c r="F10" s="332"/>
      <c r="G10" s="332"/>
      <c r="H10" s="333"/>
      <c r="I10" s="363" t="s">
        <v>16</v>
      </c>
      <c r="J10" s="363"/>
      <c r="K10" s="363"/>
      <c r="L10" s="363"/>
      <c r="M10" s="363"/>
      <c r="N10" s="365" t="s">
        <v>17</v>
      </c>
      <c r="O10" s="365"/>
      <c r="P10" s="366"/>
      <c r="Q10" s="317" t="s">
        <v>18</v>
      </c>
      <c r="R10" s="318"/>
      <c r="S10" s="319"/>
      <c r="T10" s="108"/>
      <c r="U10" s="108"/>
      <c r="V10" s="82"/>
    </row>
    <row r="11" spans="1:22" ht="15" thickBot="1" x14ac:dyDescent="0.25">
      <c r="A11" s="398"/>
      <c r="B11" s="399"/>
      <c r="C11" s="334"/>
      <c r="D11" s="335"/>
      <c r="E11" s="335"/>
      <c r="F11" s="335"/>
      <c r="G11" s="335"/>
      <c r="H11" s="336"/>
      <c r="I11" s="364"/>
      <c r="J11" s="364"/>
      <c r="K11" s="364"/>
      <c r="L11" s="364"/>
      <c r="M11" s="364"/>
      <c r="N11" s="367"/>
      <c r="O11" s="367"/>
      <c r="P11" s="368"/>
      <c r="Q11" s="320"/>
      <c r="R11" s="321"/>
      <c r="S11" s="322"/>
      <c r="T11" s="108"/>
      <c r="U11" s="108"/>
      <c r="V11" s="82"/>
    </row>
    <row r="12" spans="1:22" ht="18" customHeight="1" thickTop="1" x14ac:dyDescent="0.2">
      <c r="A12" s="400"/>
      <c r="B12" s="401"/>
      <c r="C12" s="337" t="s">
        <v>10</v>
      </c>
      <c r="D12" s="338"/>
      <c r="E12" s="339"/>
      <c r="F12" s="404">
        <f>SUM(F6:F8)</f>
        <v>3796700</v>
      </c>
      <c r="G12" s="404"/>
      <c r="H12" s="405"/>
      <c r="I12" s="406" t="s">
        <v>80</v>
      </c>
      <c r="J12" s="407"/>
      <c r="K12" s="353">
        <v>0</v>
      </c>
      <c r="L12" s="353"/>
      <c r="M12" s="354"/>
      <c r="N12" s="378" t="s">
        <v>20</v>
      </c>
      <c r="O12" s="427">
        <f>M9*2%</f>
        <v>54638.224999999999</v>
      </c>
      <c r="P12" s="428"/>
      <c r="Q12" s="390" t="s">
        <v>21</v>
      </c>
      <c r="R12" s="391"/>
      <c r="S12" s="394">
        <f>M9*8.33%</f>
        <v>227568.20712499999</v>
      </c>
      <c r="T12" s="109"/>
      <c r="U12" s="35"/>
    </row>
    <row r="13" spans="1:22" ht="15" thickBot="1" x14ac:dyDescent="0.25">
      <c r="A13" s="400"/>
      <c r="B13" s="401"/>
      <c r="C13" s="340"/>
      <c r="D13" s="341"/>
      <c r="E13" s="342"/>
      <c r="F13" s="382"/>
      <c r="G13" s="382"/>
      <c r="H13" s="383"/>
      <c r="I13" s="408"/>
      <c r="J13" s="409"/>
      <c r="K13" s="355"/>
      <c r="L13" s="355"/>
      <c r="M13" s="356"/>
      <c r="N13" s="379"/>
      <c r="O13" s="418"/>
      <c r="P13" s="419"/>
      <c r="Q13" s="392"/>
      <c r="R13" s="393"/>
      <c r="S13" s="395"/>
      <c r="T13" s="109"/>
      <c r="U13" s="35"/>
    </row>
    <row r="14" spans="1:22" ht="18" customHeight="1" thickTop="1" x14ac:dyDescent="0.2">
      <c r="A14" s="400"/>
      <c r="B14" s="401"/>
      <c r="C14" s="337" t="s">
        <v>11</v>
      </c>
      <c r="D14" s="338"/>
      <c r="E14" s="339"/>
      <c r="F14" s="380">
        <f>SUM(G6:G8)</f>
        <v>135600</v>
      </c>
      <c r="G14" s="380"/>
      <c r="H14" s="381"/>
      <c r="I14" s="323" t="s">
        <v>14</v>
      </c>
      <c r="J14" s="324"/>
      <c r="K14" s="353">
        <f>SUM(N6:N8)</f>
        <v>225231.25</v>
      </c>
      <c r="L14" s="353"/>
      <c r="M14" s="354"/>
      <c r="N14" s="384" t="s">
        <v>22</v>
      </c>
      <c r="O14" s="416">
        <f>M9*3%</f>
        <v>81957.337499999994</v>
      </c>
      <c r="P14" s="417"/>
      <c r="Q14" s="410" t="s">
        <v>23</v>
      </c>
      <c r="R14" s="411"/>
      <c r="S14" s="414">
        <f>M9*8.33%</f>
        <v>227568.20712499999</v>
      </c>
      <c r="T14" s="82"/>
    </row>
    <row r="15" spans="1:22" ht="15" thickBot="1" x14ac:dyDescent="0.25">
      <c r="A15" s="400"/>
      <c r="B15" s="401"/>
      <c r="C15" s="340"/>
      <c r="D15" s="341"/>
      <c r="E15" s="342"/>
      <c r="F15" s="382"/>
      <c r="G15" s="382"/>
      <c r="H15" s="383"/>
      <c r="I15" s="325"/>
      <c r="J15" s="326"/>
      <c r="K15" s="355"/>
      <c r="L15" s="355"/>
      <c r="M15" s="356"/>
      <c r="N15" s="379"/>
      <c r="O15" s="418"/>
      <c r="P15" s="419"/>
      <c r="Q15" s="392"/>
      <c r="R15" s="393"/>
      <c r="S15" s="420"/>
      <c r="T15" s="82"/>
    </row>
    <row r="16" spans="1:22" ht="18" customHeight="1" thickTop="1" x14ac:dyDescent="0.2">
      <c r="A16" s="400"/>
      <c r="B16" s="401"/>
      <c r="C16" s="337" t="s">
        <v>12</v>
      </c>
      <c r="D16" s="338"/>
      <c r="E16" s="339"/>
      <c r="F16" s="380">
        <v>0</v>
      </c>
      <c r="G16" s="380"/>
      <c r="H16" s="381"/>
      <c r="I16" s="323" t="s">
        <v>24</v>
      </c>
      <c r="J16" s="324"/>
      <c r="K16" s="353">
        <f>SUM(O6:O8)</f>
        <v>2726487.25</v>
      </c>
      <c r="L16" s="353"/>
      <c r="M16" s="354"/>
      <c r="N16" s="384" t="s">
        <v>81</v>
      </c>
      <c r="O16" s="432">
        <f>M9*4%</f>
        <v>109276.45</v>
      </c>
      <c r="P16" s="433"/>
      <c r="Q16" s="421" t="s">
        <v>26</v>
      </c>
      <c r="R16" s="422"/>
      <c r="S16" s="429">
        <f>M9*12%</f>
        <v>327829.34999999998</v>
      </c>
      <c r="T16" s="82"/>
    </row>
    <row r="17" spans="1:22" ht="15" thickBot="1" x14ac:dyDescent="0.25">
      <c r="A17" s="400"/>
      <c r="B17" s="401"/>
      <c r="C17" s="340"/>
      <c r="D17" s="341"/>
      <c r="E17" s="342"/>
      <c r="F17" s="382"/>
      <c r="G17" s="382"/>
      <c r="H17" s="383"/>
      <c r="I17" s="325"/>
      <c r="J17" s="326"/>
      <c r="K17" s="355"/>
      <c r="L17" s="355"/>
      <c r="M17" s="356"/>
      <c r="N17" s="379"/>
      <c r="O17" s="434"/>
      <c r="P17" s="435"/>
      <c r="Q17" s="423"/>
      <c r="R17" s="424"/>
      <c r="S17" s="430"/>
      <c r="T17" s="82"/>
    </row>
    <row r="18" spans="1:22" ht="18" customHeight="1" thickTop="1" x14ac:dyDescent="0.2">
      <c r="A18" s="400"/>
      <c r="B18" s="401"/>
      <c r="C18" s="343" t="s">
        <v>13</v>
      </c>
      <c r="D18" s="344"/>
      <c r="E18" s="345"/>
      <c r="F18" s="380">
        <f>SUM(I6:I8)</f>
        <v>61976.25</v>
      </c>
      <c r="G18" s="380"/>
      <c r="H18" s="381"/>
      <c r="I18" s="323" t="s">
        <v>27</v>
      </c>
      <c r="J18" s="324"/>
      <c r="K18" s="353">
        <v>0</v>
      </c>
      <c r="L18" s="353"/>
      <c r="M18" s="354"/>
      <c r="N18" s="384" t="s">
        <v>14</v>
      </c>
      <c r="O18" s="432">
        <f>M9*12.5%</f>
        <v>341488.90625</v>
      </c>
      <c r="P18" s="433"/>
      <c r="Q18" s="425"/>
      <c r="R18" s="426"/>
      <c r="S18" s="431"/>
      <c r="T18" s="82"/>
    </row>
    <row r="19" spans="1:22" ht="15" thickBot="1" x14ac:dyDescent="0.25">
      <c r="A19" s="400"/>
      <c r="B19" s="401"/>
      <c r="C19" s="346"/>
      <c r="D19" s="347"/>
      <c r="E19" s="348"/>
      <c r="F19" s="404"/>
      <c r="G19" s="404"/>
      <c r="H19" s="405"/>
      <c r="I19" s="325"/>
      <c r="J19" s="326"/>
      <c r="K19" s="355"/>
      <c r="L19" s="355"/>
      <c r="M19" s="356"/>
      <c r="N19" s="379"/>
      <c r="O19" s="434"/>
      <c r="P19" s="435"/>
      <c r="Q19" s="410" t="s">
        <v>28</v>
      </c>
      <c r="R19" s="411"/>
      <c r="S19" s="414">
        <f>M9*4.16%</f>
        <v>113647.508</v>
      </c>
      <c r="T19" s="82"/>
    </row>
    <row r="20" spans="1:22" ht="18" customHeight="1" thickTop="1" thickBot="1" x14ac:dyDescent="0.25">
      <c r="A20" s="400"/>
      <c r="B20" s="401"/>
      <c r="C20" s="349"/>
      <c r="D20" s="350"/>
      <c r="E20" s="351"/>
      <c r="F20" s="382"/>
      <c r="G20" s="382"/>
      <c r="H20" s="383"/>
      <c r="I20" s="323" t="s">
        <v>29</v>
      </c>
      <c r="J20" s="324"/>
      <c r="K20" s="327">
        <f>SUM(P6:P8)</f>
        <v>7.5000000000000011E-2</v>
      </c>
      <c r="L20" s="327"/>
      <c r="M20" s="328"/>
      <c r="N20" s="384" t="s">
        <v>24</v>
      </c>
      <c r="O20" s="432">
        <f>F9*16%</f>
        <v>607472</v>
      </c>
      <c r="P20" s="433"/>
      <c r="Q20" s="412"/>
      <c r="R20" s="413"/>
      <c r="S20" s="415"/>
      <c r="T20" s="82"/>
    </row>
    <row r="21" spans="1:22" ht="15.75" thickTop="1" thickBot="1" x14ac:dyDescent="0.25">
      <c r="A21" s="400"/>
      <c r="B21" s="401"/>
      <c r="C21" s="337" t="s">
        <v>30</v>
      </c>
      <c r="D21" s="338"/>
      <c r="E21" s="339"/>
      <c r="F21" s="451">
        <f>SUM(F12:H20)</f>
        <v>3994276.25</v>
      </c>
      <c r="G21" s="451"/>
      <c r="H21" s="452"/>
      <c r="I21" s="325"/>
      <c r="J21" s="326"/>
      <c r="K21" s="329"/>
      <c r="L21" s="329"/>
      <c r="M21" s="330"/>
      <c r="N21" s="438"/>
      <c r="O21" s="449"/>
      <c r="P21" s="450"/>
      <c r="Q21" s="455" t="s">
        <v>30</v>
      </c>
      <c r="R21" s="456"/>
      <c r="S21" s="436">
        <f>SUM(S12:S20)</f>
        <v>896613.27225000004</v>
      </c>
      <c r="T21" s="82"/>
    </row>
    <row r="22" spans="1:22" ht="15.75" thickTop="1" thickBot="1" x14ac:dyDescent="0.25">
      <c r="A22" s="402"/>
      <c r="B22" s="403"/>
      <c r="C22" s="340"/>
      <c r="D22" s="341"/>
      <c r="E22" s="342"/>
      <c r="F22" s="453"/>
      <c r="G22" s="453"/>
      <c r="H22" s="454"/>
      <c r="I22" s="357" t="s">
        <v>30</v>
      </c>
      <c r="J22" s="358"/>
      <c r="K22" s="358">
        <f>SUM(K12:M21)</f>
        <v>2951718.5750000002</v>
      </c>
      <c r="L22" s="358"/>
      <c r="M22" s="361"/>
      <c r="N22" s="378" t="s">
        <v>30</v>
      </c>
      <c r="O22" s="439">
        <f>SUM(O12:P21)</f>
        <v>1194832.91875</v>
      </c>
      <c r="P22" s="440"/>
      <c r="Q22" s="457"/>
      <c r="R22" s="458"/>
      <c r="S22" s="437"/>
      <c r="T22" s="82"/>
    </row>
    <row r="23" spans="1:22" ht="15.75" thickTop="1" thickBot="1" x14ac:dyDescent="0.25">
      <c r="A23" s="110" t="s">
        <v>31</v>
      </c>
      <c r="B23" s="111"/>
      <c r="C23" s="114"/>
      <c r="D23" s="115" t="s">
        <v>32</v>
      </c>
      <c r="E23" s="443"/>
      <c r="F23" s="444"/>
      <c r="G23" s="444"/>
      <c r="H23" s="445"/>
      <c r="I23" s="359"/>
      <c r="J23" s="360"/>
      <c r="K23" s="360"/>
      <c r="L23" s="360"/>
      <c r="M23" s="362"/>
      <c r="N23" s="438"/>
      <c r="O23" s="441"/>
      <c r="P23" s="442"/>
      <c r="Q23" s="446" t="s">
        <v>33</v>
      </c>
      <c r="R23" s="447"/>
      <c r="S23" s="448"/>
      <c r="T23" s="82"/>
    </row>
    <row r="24" spans="1:22" ht="15.75" thickTop="1" thickBot="1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</row>
    <row r="25" spans="1:22" ht="20.25" thickTop="1" x14ac:dyDescent="0.25">
      <c r="A25" s="82"/>
      <c r="B25" s="82"/>
      <c r="C25" s="82"/>
      <c r="D25" s="82"/>
      <c r="E25" s="82"/>
      <c r="F25" s="82"/>
      <c r="G25" s="462" t="s">
        <v>63</v>
      </c>
      <c r="H25" s="463"/>
      <c r="I25" s="463"/>
      <c r="J25" s="463"/>
      <c r="K25" s="463"/>
      <c r="L25" s="463"/>
      <c r="M25" s="463"/>
      <c r="N25" s="459"/>
      <c r="O25" s="82"/>
      <c r="P25" s="82"/>
      <c r="Q25" s="82"/>
      <c r="R25" s="82"/>
      <c r="S25" s="82"/>
      <c r="T25" s="82"/>
      <c r="U25" s="82"/>
      <c r="V25" s="82"/>
    </row>
    <row r="26" spans="1:22" ht="14.25" x14ac:dyDescent="0.2">
      <c r="A26" s="82"/>
      <c r="B26" s="82"/>
      <c r="C26" s="82"/>
      <c r="D26" s="82"/>
      <c r="E26" s="82"/>
      <c r="F26" s="82"/>
      <c r="G26" s="464" t="s">
        <v>64</v>
      </c>
      <c r="H26" s="465"/>
      <c r="I26" s="465"/>
      <c r="J26" s="465"/>
      <c r="K26" s="465"/>
      <c r="L26" s="465"/>
      <c r="M26" s="465"/>
      <c r="N26" s="460"/>
      <c r="O26" s="82"/>
      <c r="P26" s="82"/>
      <c r="Q26" s="82"/>
      <c r="R26" s="82"/>
      <c r="S26" s="82"/>
      <c r="T26" s="82"/>
      <c r="U26" s="82"/>
      <c r="V26" s="82"/>
    </row>
    <row r="27" spans="1:22" ht="14.25" x14ac:dyDescent="0.2">
      <c r="A27" s="82"/>
      <c r="B27" s="82"/>
      <c r="C27" s="82"/>
      <c r="D27" s="82"/>
      <c r="E27" s="82"/>
      <c r="F27" s="82"/>
      <c r="G27" s="464" t="s">
        <v>65</v>
      </c>
      <c r="H27" s="465"/>
      <c r="I27" s="465"/>
      <c r="J27" s="465"/>
      <c r="K27" s="465"/>
      <c r="L27" s="465"/>
      <c r="M27" s="465"/>
      <c r="N27" s="460"/>
      <c r="O27" s="82"/>
      <c r="P27" s="82"/>
      <c r="Q27" s="82"/>
      <c r="R27" s="82"/>
      <c r="S27" s="82"/>
      <c r="T27" s="82"/>
      <c r="U27" s="82"/>
      <c r="V27" s="82"/>
    </row>
    <row r="28" spans="1:22" ht="14.25" x14ac:dyDescent="0.2">
      <c r="A28" s="82"/>
      <c r="B28" s="82"/>
      <c r="C28" s="82"/>
      <c r="D28" s="82"/>
      <c r="E28" s="82"/>
      <c r="F28" s="82"/>
      <c r="G28" s="464" t="s">
        <v>66</v>
      </c>
      <c r="H28" s="465"/>
      <c r="I28" s="465"/>
      <c r="J28" s="465"/>
      <c r="K28" s="465"/>
      <c r="L28" s="465"/>
      <c r="M28" s="465"/>
      <c r="N28" s="460"/>
      <c r="O28" s="82"/>
      <c r="P28" s="82"/>
      <c r="Q28" s="82"/>
      <c r="R28" s="82"/>
      <c r="S28" s="82"/>
      <c r="T28" s="82"/>
      <c r="U28" s="82"/>
      <c r="V28" s="82"/>
    </row>
    <row r="29" spans="1:22" ht="14.25" x14ac:dyDescent="0.2">
      <c r="A29" s="82"/>
      <c r="B29" s="82"/>
      <c r="C29" s="82"/>
      <c r="D29" s="82"/>
      <c r="E29" s="82"/>
      <c r="F29" s="82"/>
      <c r="G29" s="464" t="s">
        <v>67</v>
      </c>
      <c r="H29" s="465"/>
      <c r="I29" s="465"/>
      <c r="J29" s="465"/>
      <c r="K29" s="465"/>
      <c r="L29" s="465"/>
      <c r="M29" s="465"/>
      <c r="N29" s="460"/>
      <c r="O29" s="82"/>
      <c r="P29" s="82"/>
      <c r="Q29" s="82"/>
      <c r="R29" s="82"/>
      <c r="S29" s="82"/>
      <c r="T29" s="82"/>
      <c r="U29" s="82"/>
      <c r="V29" s="82"/>
    </row>
    <row r="30" spans="1:22" ht="14.25" x14ac:dyDescent="0.2">
      <c r="A30" s="82"/>
      <c r="B30" s="82"/>
      <c r="C30" s="82"/>
      <c r="D30" s="82"/>
      <c r="E30" s="82"/>
      <c r="F30" s="82"/>
      <c r="G30" s="464" t="s">
        <v>68</v>
      </c>
      <c r="H30" s="465"/>
      <c r="I30" s="465"/>
      <c r="J30" s="465"/>
      <c r="K30" s="465"/>
      <c r="L30" s="465"/>
      <c r="M30" s="465"/>
      <c r="N30" s="460"/>
      <c r="O30" s="82"/>
      <c r="P30" s="82"/>
      <c r="Q30" s="82"/>
      <c r="R30" s="82"/>
      <c r="S30" s="82"/>
      <c r="T30" s="82"/>
      <c r="U30" s="82"/>
      <c r="V30" s="82"/>
    </row>
    <row r="31" spans="1:22" ht="14.25" x14ac:dyDescent="0.2">
      <c r="A31" s="82"/>
      <c r="B31" s="82"/>
      <c r="C31" s="82"/>
      <c r="D31" s="82"/>
      <c r="E31" s="82"/>
      <c r="F31" s="82"/>
      <c r="G31" s="464"/>
      <c r="H31" s="465" t="s">
        <v>69</v>
      </c>
      <c r="I31" s="465"/>
      <c r="J31" s="465"/>
      <c r="K31" s="465"/>
      <c r="L31" s="465"/>
      <c r="M31" s="465"/>
      <c r="N31" s="460"/>
      <c r="O31" s="82"/>
      <c r="P31" s="82"/>
      <c r="Q31" s="82"/>
      <c r="R31" s="82"/>
      <c r="S31" s="82"/>
      <c r="T31" s="82"/>
      <c r="U31" s="82"/>
      <c r="V31" s="82"/>
    </row>
    <row r="32" spans="1:22" ht="15" thickBot="1" x14ac:dyDescent="0.25">
      <c r="A32" s="82"/>
      <c r="B32" s="82"/>
      <c r="C32" s="82"/>
      <c r="D32" s="82"/>
      <c r="E32" s="82"/>
      <c r="F32" s="82"/>
      <c r="G32" s="466"/>
      <c r="H32" s="467"/>
      <c r="I32" s="467"/>
      <c r="J32" s="467"/>
      <c r="K32" s="467"/>
      <c r="L32" s="467"/>
      <c r="M32" s="467"/>
      <c r="N32" s="461"/>
      <c r="O32" s="82"/>
      <c r="P32" s="82"/>
      <c r="Q32" s="82"/>
      <c r="R32" s="82"/>
      <c r="S32" s="82"/>
      <c r="T32" s="82"/>
      <c r="U32" s="82"/>
      <c r="V32" s="82"/>
    </row>
    <row r="33" spans="1:22" ht="15" thickTop="1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</row>
    <row r="34" spans="1:22" ht="14.25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</row>
  </sheetData>
  <mergeCells count="64">
    <mergeCell ref="S21:S22"/>
    <mergeCell ref="N22:N23"/>
    <mergeCell ref="O22:P23"/>
    <mergeCell ref="O16:P17"/>
    <mergeCell ref="E23:H23"/>
    <mergeCell ref="Q23:S23"/>
    <mergeCell ref="N20:N21"/>
    <mergeCell ref="O20:P21"/>
    <mergeCell ref="F21:H22"/>
    <mergeCell ref="Q21:R22"/>
    <mergeCell ref="S14:S15"/>
    <mergeCell ref="Q16:R18"/>
    <mergeCell ref="O12:P13"/>
    <mergeCell ref="S16:S18"/>
    <mergeCell ref="F18:H20"/>
    <mergeCell ref="N18:N19"/>
    <mergeCell ref="O18:P19"/>
    <mergeCell ref="A1:D3"/>
    <mergeCell ref="E1:M1"/>
    <mergeCell ref="F2:M2"/>
    <mergeCell ref="G3:M3"/>
    <mergeCell ref="N12:N13"/>
    <mergeCell ref="B4:B5"/>
    <mergeCell ref="D4:D5"/>
    <mergeCell ref="E4:E5"/>
    <mergeCell ref="F4:N4"/>
    <mergeCell ref="C4:C5"/>
    <mergeCell ref="A10:B10"/>
    <mergeCell ref="A11:B22"/>
    <mergeCell ref="F12:H13"/>
    <mergeCell ref="I12:J13"/>
    <mergeCell ref="K12:M13"/>
    <mergeCell ref="I14:J15"/>
    <mergeCell ref="A4:A5"/>
    <mergeCell ref="K14:M15"/>
    <mergeCell ref="I22:J23"/>
    <mergeCell ref="K22:M23"/>
    <mergeCell ref="I10:M11"/>
    <mergeCell ref="C21:E22"/>
    <mergeCell ref="K18:M19"/>
    <mergeCell ref="K16:M17"/>
    <mergeCell ref="F16:H17"/>
    <mergeCell ref="F14:H15"/>
    <mergeCell ref="C10:H11"/>
    <mergeCell ref="C12:E13"/>
    <mergeCell ref="C14:E15"/>
    <mergeCell ref="C16:E17"/>
    <mergeCell ref="C18:E20"/>
    <mergeCell ref="N1:U3"/>
    <mergeCell ref="Q10:S11"/>
    <mergeCell ref="I20:J21"/>
    <mergeCell ref="I18:J19"/>
    <mergeCell ref="I16:J17"/>
    <mergeCell ref="K20:M21"/>
    <mergeCell ref="N10:P11"/>
    <mergeCell ref="O4:R4"/>
    <mergeCell ref="N16:N17"/>
    <mergeCell ref="Q12:R13"/>
    <mergeCell ref="S12:S13"/>
    <mergeCell ref="N14:N15"/>
    <mergeCell ref="Q19:R20"/>
    <mergeCell ref="S19:S20"/>
    <mergeCell ref="O14:P15"/>
    <mergeCell ref="Q14:R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EJERCICIO 1</vt:lpstr>
      <vt:lpstr>EJERCICIO 2</vt:lpstr>
      <vt:lpstr>EJERCICIO 3</vt:lpstr>
      <vt:lpstr>'EJERCICIO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NUBIA</cp:lastModifiedBy>
  <cp:revision>1</cp:revision>
  <cp:lastPrinted>2003-08-27T02:28:44Z</cp:lastPrinted>
  <dcterms:created xsi:type="dcterms:W3CDTF">2003-08-27T01:58:46Z</dcterms:created>
  <dcterms:modified xsi:type="dcterms:W3CDTF">2012-04-07T15:46:52Z</dcterms:modified>
</cp:coreProperties>
</file>