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5480" windowHeight="9240"/>
  </bookViews>
  <sheets>
    <sheet name="Nómina 1" sheetId="1" r:id="rId1"/>
    <sheet name="Nómina 2" sheetId="6" r:id="rId2"/>
    <sheet name="Nómina 3" sheetId="7" r:id="rId3"/>
    <sheet name="Nómina 4" sheetId="5" r:id="rId4"/>
  </sheets>
  <externalReferences>
    <externalReference r:id="rId5"/>
  </externalReferences>
  <definedNames>
    <definedName name="_xlnm.Print_Area" localSheetId="0">'Nómina 1'!$1:$31990</definedName>
  </definedNames>
  <calcPr calcId="145621"/>
</workbook>
</file>

<file path=xl/calcChain.xml><?xml version="1.0" encoding="utf-8"?>
<calcChain xmlns="http://schemas.openxmlformats.org/spreadsheetml/2006/main">
  <c r="W26" i="5" l="1"/>
  <c r="W24" i="5"/>
  <c r="W21" i="5"/>
  <c r="W19" i="5"/>
  <c r="W17" i="5"/>
  <c r="R27" i="5"/>
  <c r="R25" i="5"/>
  <c r="R23" i="5"/>
  <c r="R21" i="5"/>
  <c r="R17" i="5"/>
  <c r="R19" i="5"/>
  <c r="M27" i="5"/>
  <c r="M25" i="5"/>
  <c r="M23" i="5"/>
  <c r="M21" i="5"/>
  <c r="M19" i="5"/>
  <c r="M17" i="5"/>
  <c r="W14" i="5"/>
  <c r="W7" i="5"/>
  <c r="W8" i="5"/>
  <c r="W9" i="5"/>
  <c r="W10" i="5"/>
  <c r="W11" i="5"/>
  <c r="W12" i="5"/>
  <c r="W13" i="5"/>
  <c r="W6" i="5"/>
  <c r="V14" i="5"/>
  <c r="V6" i="5"/>
  <c r="V7" i="5"/>
  <c r="V8" i="5"/>
  <c r="V9" i="5"/>
  <c r="V10" i="5"/>
  <c r="V11" i="5"/>
  <c r="V12" i="5"/>
  <c r="V13" i="5"/>
  <c r="Q14" i="5"/>
  <c r="Q7" i="5"/>
  <c r="Q8" i="5"/>
  <c r="Q9" i="5"/>
  <c r="Q10" i="5"/>
  <c r="Q11" i="5"/>
  <c r="Q12" i="5"/>
  <c r="Q13" i="5"/>
  <c r="Q6" i="5"/>
  <c r="T7" i="5" l="1"/>
  <c r="T8" i="5"/>
  <c r="T9" i="5"/>
  <c r="T10" i="5"/>
  <c r="T11" i="5"/>
  <c r="T12" i="5"/>
  <c r="T13" i="5"/>
  <c r="T6" i="5"/>
  <c r="O13" i="5"/>
  <c r="O12" i="5"/>
  <c r="O11" i="5"/>
  <c r="O10" i="5"/>
  <c r="O9" i="5"/>
  <c r="O8" i="5"/>
  <c r="O7" i="5"/>
  <c r="L6" i="5"/>
  <c r="L7" i="5"/>
  <c r="L8" i="5"/>
  <c r="L9" i="5"/>
  <c r="L10" i="5"/>
  <c r="L11" i="5"/>
  <c r="O6" i="5"/>
  <c r="N12" i="5"/>
  <c r="J12" i="5"/>
  <c r="L12" i="5"/>
  <c r="G12" i="5"/>
  <c r="R12" i="5" s="1"/>
  <c r="H12" i="5"/>
  <c r="E14" i="5"/>
  <c r="U12" i="5" l="1"/>
  <c r="D14" i="5" l="1"/>
  <c r="E15" i="7"/>
  <c r="S14" i="5" l="1"/>
  <c r="M14" i="5"/>
  <c r="K14" i="5"/>
  <c r="I14" i="5"/>
  <c r="F14" i="5"/>
  <c r="N13" i="5"/>
  <c r="L13" i="5"/>
  <c r="J13" i="5"/>
  <c r="H13" i="5"/>
  <c r="G13" i="5"/>
  <c r="U13" i="5" s="1"/>
  <c r="N11" i="5"/>
  <c r="J11" i="5"/>
  <c r="H11" i="5"/>
  <c r="G11" i="5"/>
  <c r="N10" i="5"/>
  <c r="J10" i="5"/>
  <c r="H10" i="5"/>
  <c r="G10" i="5"/>
  <c r="U10" i="5" s="1"/>
  <c r="N9" i="5"/>
  <c r="J9" i="5"/>
  <c r="H9" i="5"/>
  <c r="G9" i="5"/>
  <c r="N8" i="5"/>
  <c r="J8" i="5"/>
  <c r="H8" i="5"/>
  <c r="G8" i="5"/>
  <c r="U8" i="5" s="1"/>
  <c r="N7" i="5"/>
  <c r="J7" i="5"/>
  <c r="H7" i="5"/>
  <c r="G7" i="5"/>
  <c r="O14" i="5"/>
  <c r="N6" i="5"/>
  <c r="J6" i="5"/>
  <c r="J14" i="5" s="1"/>
  <c r="H6" i="5"/>
  <c r="G6" i="5"/>
  <c r="U6" i="5" s="1"/>
  <c r="G19" i="5" l="1"/>
  <c r="N14" i="5"/>
  <c r="P8" i="5"/>
  <c r="P10" i="5"/>
  <c r="P11" i="5"/>
  <c r="G23" i="5"/>
  <c r="P7" i="5"/>
  <c r="P9" i="5"/>
  <c r="P13" i="5"/>
  <c r="G21" i="5"/>
  <c r="P6" i="5"/>
  <c r="R7" i="5"/>
  <c r="U7" i="5"/>
  <c r="R9" i="5"/>
  <c r="U9" i="5"/>
  <c r="R11" i="5"/>
  <c r="U11" i="5"/>
  <c r="G14" i="5"/>
  <c r="G17" i="5"/>
  <c r="R6" i="5"/>
  <c r="R8" i="5"/>
  <c r="R10" i="5"/>
  <c r="R13" i="5"/>
  <c r="H14" i="5"/>
  <c r="L14" i="5"/>
  <c r="U8" i="7"/>
  <c r="R15" i="7"/>
  <c r="T15" i="7"/>
  <c r="S8" i="7"/>
  <c r="S10" i="7"/>
  <c r="S12" i="7"/>
  <c r="S14" i="7"/>
  <c r="P14" i="7"/>
  <c r="P7" i="7"/>
  <c r="P8" i="7"/>
  <c r="P9" i="7"/>
  <c r="P10" i="7"/>
  <c r="P11" i="7"/>
  <c r="P12" i="7"/>
  <c r="P13" i="7"/>
  <c r="O13" i="7"/>
  <c r="O14" i="7"/>
  <c r="J15" i="7"/>
  <c r="L15" i="7"/>
  <c r="N15" i="7"/>
  <c r="M13" i="7"/>
  <c r="M14" i="7"/>
  <c r="K13" i="7"/>
  <c r="K14" i="7"/>
  <c r="I9" i="7"/>
  <c r="I10" i="7"/>
  <c r="I11" i="7"/>
  <c r="I12" i="7"/>
  <c r="I13" i="7"/>
  <c r="I14" i="7"/>
  <c r="H7" i="7"/>
  <c r="U7" i="7" s="1"/>
  <c r="H8" i="7"/>
  <c r="H9" i="7"/>
  <c r="S9" i="7" s="1"/>
  <c r="H10" i="7"/>
  <c r="U10" i="7" s="1"/>
  <c r="H11" i="7"/>
  <c r="S11" i="7" s="1"/>
  <c r="H12" i="7"/>
  <c r="U12" i="7" s="1"/>
  <c r="H13" i="7"/>
  <c r="Q13" i="7" s="1"/>
  <c r="H14" i="7"/>
  <c r="F15" i="7"/>
  <c r="G15" i="7"/>
  <c r="D15" i="7"/>
  <c r="U13" i="7" l="1"/>
  <c r="U11" i="7"/>
  <c r="U9" i="7"/>
  <c r="Q14" i="7"/>
  <c r="S13" i="7"/>
  <c r="S7" i="7"/>
  <c r="U14" i="7"/>
  <c r="P14" i="5"/>
  <c r="U14" i="5"/>
  <c r="G26" i="5"/>
  <c r="R14" i="5"/>
  <c r="O12" i="7"/>
  <c r="M12" i="7"/>
  <c r="K12" i="7"/>
  <c r="Q12" i="7" s="1"/>
  <c r="O11" i="7"/>
  <c r="M11" i="7"/>
  <c r="K11" i="7"/>
  <c r="O10" i="7"/>
  <c r="M10" i="7"/>
  <c r="K10" i="7"/>
  <c r="Q10" i="7" s="1"/>
  <c r="O9" i="7"/>
  <c r="M9" i="7"/>
  <c r="K9" i="7"/>
  <c r="O8" i="7"/>
  <c r="M8" i="7"/>
  <c r="K8" i="7"/>
  <c r="I8" i="7"/>
  <c r="O7" i="7"/>
  <c r="M7" i="7"/>
  <c r="K7" i="7"/>
  <c r="I7" i="7"/>
  <c r="P6" i="7"/>
  <c r="P15" i="7" s="1"/>
  <c r="O6" i="7"/>
  <c r="M6" i="7"/>
  <c r="K6" i="7"/>
  <c r="I6" i="7"/>
  <c r="H6" i="7"/>
  <c r="U6" i="7" s="1"/>
  <c r="U7" i="6"/>
  <c r="U8" i="6"/>
  <c r="U9" i="6"/>
  <c r="U10" i="6"/>
  <c r="U11" i="6"/>
  <c r="U6" i="6"/>
  <c r="U12" i="6" s="1"/>
  <c r="P7" i="6"/>
  <c r="P8" i="6"/>
  <c r="P9" i="6"/>
  <c r="P10" i="6"/>
  <c r="P11" i="6"/>
  <c r="P6" i="6"/>
  <c r="K9" i="6"/>
  <c r="K10" i="6"/>
  <c r="K15" i="7" l="1"/>
  <c r="Q7" i="7"/>
  <c r="Q8" i="7"/>
  <c r="Q9" i="7"/>
  <c r="Q11" i="7"/>
  <c r="H15" i="7"/>
  <c r="U15" i="7" s="1"/>
  <c r="H20" i="7"/>
  <c r="I15" i="7"/>
  <c r="H24" i="7"/>
  <c r="M15" i="7"/>
  <c r="O15" i="7"/>
  <c r="Q6" i="7"/>
  <c r="H18" i="7"/>
  <c r="H22" i="7"/>
  <c r="S6" i="7"/>
  <c r="S15" i="7" s="1"/>
  <c r="T12" i="6"/>
  <c r="R12" i="6"/>
  <c r="N12" i="6"/>
  <c r="L12" i="6"/>
  <c r="J12" i="6"/>
  <c r="G12" i="6"/>
  <c r="F12" i="6"/>
  <c r="E12" i="6"/>
  <c r="O11" i="6"/>
  <c r="M11" i="6"/>
  <c r="K11" i="6"/>
  <c r="I11" i="6"/>
  <c r="H11" i="6"/>
  <c r="V11" i="6" s="1"/>
  <c r="O10" i="6"/>
  <c r="M10" i="6"/>
  <c r="I10" i="6"/>
  <c r="H10" i="6"/>
  <c r="V10" i="6" s="1"/>
  <c r="O9" i="6"/>
  <c r="M9" i="6"/>
  <c r="I9" i="6"/>
  <c r="H9" i="6"/>
  <c r="V9" i="6" s="1"/>
  <c r="O8" i="6"/>
  <c r="M8" i="6"/>
  <c r="K8" i="6"/>
  <c r="I8" i="6"/>
  <c r="H8" i="6"/>
  <c r="V8" i="6" s="1"/>
  <c r="O7" i="6"/>
  <c r="M7" i="6"/>
  <c r="K7" i="6"/>
  <c r="I7" i="6"/>
  <c r="H7" i="6"/>
  <c r="V7" i="6" s="1"/>
  <c r="P12" i="6"/>
  <c r="O6" i="6"/>
  <c r="M6" i="6"/>
  <c r="K6" i="6"/>
  <c r="I6" i="6"/>
  <c r="H17" i="6" s="1"/>
  <c r="H6" i="6"/>
  <c r="V6" i="6" s="1"/>
  <c r="U13" i="1"/>
  <c r="G13" i="1"/>
  <c r="J13" i="1"/>
  <c r="L13" i="1"/>
  <c r="N13" i="1"/>
  <c r="S13" i="1"/>
  <c r="F13" i="1"/>
  <c r="E13" i="1"/>
  <c r="D13" i="1"/>
  <c r="H6" i="1"/>
  <c r="I6" i="1"/>
  <c r="K6" i="1"/>
  <c r="M6" i="1"/>
  <c r="O6" i="1"/>
  <c r="P6" i="1"/>
  <c r="Q6" i="1"/>
  <c r="R6" i="1"/>
  <c r="T6" i="1"/>
  <c r="V6" i="1"/>
  <c r="H7" i="1"/>
  <c r="W7" i="1" s="1"/>
  <c r="I7" i="1"/>
  <c r="K7" i="1"/>
  <c r="M7" i="1"/>
  <c r="M13" i="1" s="1"/>
  <c r="O7" i="1"/>
  <c r="P7" i="1"/>
  <c r="Q7" i="1"/>
  <c r="R7" i="1"/>
  <c r="T7" i="1"/>
  <c r="V7" i="1"/>
  <c r="H8" i="1"/>
  <c r="W8" i="1" s="1"/>
  <c r="I8" i="1"/>
  <c r="K8" i="1"/>
  <c r="M8" i="1"/>
  <c r="O8" i="1"/>
  <c r="P8" i="1"/>
  <c r="Q8" i="1"/>
  <c r="R8" i="1"/>
  <c r="T8" i="1"/>
  <c r="V8" i="1"/>
  <c r="H9" i="1"/>
  <c r="W9" i="1" s="1"/>
  <c r="I9" i="1"/>
  <c r="K9" i="1"/>
  <c r="M9" i="1"/>
  <c r="O9" i="1"/>
  <c r="P9" i="1"/>
  <c r="Q9" i="1"/>
  <c r="R9" i="1"/>
  <c r="T9" i="1"/>
  <c r="V9" i="1"/>
  <c r="H10" i="1"/>
  <c r="W10" i="1" s="1"/>
  <c r="I10" i="1"/>
  <c r="K10" i="1"/>
  <c r="M10" i="1"/>
  <c r="O10" i="1"/>
  <c r="P10" i="1"/>
  <c r="Q10" i="1"/>
  <c r="R10" i="1"/>
  <c r="T10" i="1"/>
  <c r="V10" i="1"/>
  <c r="H11" i="1"/>
  <c r="W11" i="1" s="1"/>
  <c r="I11" i="1"/>
  <c r="K11" i="1"/>
  <c r="M11" i="1"/>
  <c r="O11" i="1"/>
  <c r="P11" i="1"/>
  <c r="Q11" i="1"/>
  <c r="R11" i="1"/>
  <c r="T11" i="1"/>
  <c r="V11" i="1"/>
  <c r="H12" i="1"/>
  <c r="W12" i="1" s="1"/>
  <c r="I12" i="1"/>
  <c r="K12" i="1"/>
  <c r="M12" i="1"/>
  <c r="O12" i="1"/>
  <c r="P12" i="1"/>
  <c r="Q12" i="1"/>
  <c r="R12" i="1"/>
  <c r="T12" i="1"/>
  <c r="V12" i="1"/>
  <c r="V13" i="1" l="1"/>
  <c r="R13" i="1"/>
  <c r="P13" i="1"/>
  <c r="H22" i="1"/>
  <c r="H18" i="1"/>
  <c r="V12" i="6"/>
  <c r="K12" i="6"/>
  <c r="T13" i="1"/>
  <c r="Q13" i="1"/>
  <c r="O13" i="1"/>
  <c r="H20" i="1"/>
  <c r="H16" i="1"/>
  <c r="Q15" i="7"/>
  <c r="H27" i="7"/>
  <c r="H21" i="6"/>
  <c r="O12" i="6"/>
  <c r="Q7" i="6"/>
  <c r="Q10" i="6"/>
  <c r="Q9" i="6"/>
  <c r="Q11" i="6"/>
  <c r="Q6" i="6"/>
  <c r="S7" i="6"/>
  <c r="Q8" i="6"/>
  <c r="S9" i="6"/>
  <c r="S11" i="6"/>
  <c r="H12" i="6"/>
  <c r="H15" i="6"/>
  <c r="H19" i="6"/>
  <c r="S6" i="6"/>
  <c r="S8" i="6"/>
  <c r="S10" i="6"/>
  <c r="I12" i="6"/>
  <c r="M12" i="6"/>
  <c r="H25" i="1"/>
  <c r="H13" i="1"/>
  <c r="I13" i="1"/>
  <c r="K13" i="1"/>
  <c r="W6" i="1"/>
  <c r="W13" i="1" s="1"/>
  <c r="Q12" i="6" l="1"/>
  <c r="S12" i="6"/>
  <c r="H24" i="6"/>
</calcChain>
</file>

<file path=xl/sharedStrings.xml><?xml version="1.0" encoding="utf-8"?>
<sst xmlns="http://schemas.openxmlformats.org/spreadsheetml/2006/main" count="337" uniqueCount="129">
  <si>
    <t xml:space="preserve">NÓMINA PARA PAGO DE SUELDOS </t>
  </si>
  <si>
    <t>OBSERVACIONES:</t>
  </si>
  <si>
    <t>No.</t>
  </si>
  <si>
    <t>Apellidos y nombres de los trabajadores</t>
  </si>
  <si>
    <t>Básico</t>
  </si>
  <si>
    <t xml:space="preserve">DEVENGADO </t>
  </si>
  <si>
    <t>DEDUCCIONES</t>
  </si>
  <si>
    <t>TOTAL A PAGAR</t>
  </si>
  <si>
    <t>Devengado días</t>
  </si>
  <si>
    <t>Subsidio de transporte</t>
  </si>
  <si>
    <t>HED</t>
  </si>
  <si>
    <t>HEN</t>
  </si>
  <si>
    <t>Salud</t>
  </si>
  <si>
    <t>Total deducciones</t>
  </si>
  <si>
    <t xml:space="preserve">Devengado </t>
  </si>
  <si>
    <t>Deducciones</t>
  </si>
  <si>
    <t>Aportes patronales</t>
  </si>
  <si>
    <t>Provisiones</t>
  </si>
  <si>
    <t>Retefuente</t>
  </si>
  <si>
    <t>SENA</t>
  </si>
  <si>
    <t>Prima de servicios</t>
  </si>
  <si>
    <t>ICBF</t>
  </si>
  <si>
    <t>Cesantías</t>
  </si>
  <si>
    <t>Pensión</t>
  </si>
  <si>
    <t>Caja com-   pensac.</t>
  </si>
  <si>
    <t>Interés a las cesantías</t>
  </si>
  <si>
    <t>Fondo de Solidaridad</t>
  </si>
  <si>
    <t>Vacaciones</t>
  </si>
  <si>
    <t xml:space="preserve">Cooperativa </t>
  </si>
  <si>
    <t>TOTAL</t>
  </si>
  <si>
    <t>Preparó:</t>
  </si>
  <si>
    <t>Revisó:</t>
  </si>
  <si>
    <t>Contabilizó:</t>
  </si>
  <si>
    <t>Totales</t>
  </si>
  <si>
    <t xml:space="preserve">Dominical y Festivo </t>
  </si>
  <si>
    <t>TOTAL DEVENGADO</t>
  </si>
  <si>
    <t xml:space="preserve">Nº. Horas </t>
  </si>
  <si>
    <t>Nº. Horas</t>
  </si>
  <si>
    <t>EMPRESA: Modas Lindas</t>
  </si>
  <si>
    <t>Periodo de pago: 1 al 15 de Febrero 2012</t>
  </si>
  <si>
    <t>Pensión y F.S</t>
  </si>
  <si>
    <t>Cooperativa</t>
  </si>
  <si>
    <t xml:space="preserve">Hernandez Ocampo Esteban </t>
  </si>
  <si>
    <t xml:space="preserve">Marin Carvajal Adelaida </t>
  </si>
  <si>
    <t>Betancur Londoño Camila Andrea</t>
  </si>
  <si>
    <t>Lopera Aguilar Marcela</t>
  </si>
  <si>
    <t>Toro Correa Juan Darío</t>
  </si>
  <si>
    <t>Serna Ospina Mario</t>
  </si>
  <si>
    <t>Lujan Estrada Miguel Angel</t>
  </si>
  <si>
    <t>Cargo</t>
  </si>
  <si>
    <t>Director</t>
  </si>
  <si>
    <t>Dibujante</t>
  </si>
  <si>
    <t>Operario</t>
  </si>
  <si>
    <t>Vendedor</t>
  </si>
  <si>
    <t>Ventas</t>
  </si>
  <si>
    <t>Días Trabajados</t>
  </si>
  <si>
    <t>Días a pagar</t>
  </si>
  <si>
    <t>Bonificación</t>
  </si>
  <si>
    <t>Comisión</t>
  </si>
  <si>
    <t>Embargo</t>
  </si>
  <si>
    <t>NOMINA UNO</t>
  </si>
  <si>
    <t>MODAS LINDAS paga nómina del 1 al 15 de febrero de 2012</t>
  </si>
  <si>
    <t>1 Director $ 3.580.000.</t>
  </si>
  <si>
    <t>1 dibujante $2.450.000. tiene descuento por  embargo $ 170.000. mensual + 5 HEN</t>
  </si>
  <si>
    <t>4 operarios mínimo 12 HEN+1 dominical.+ bonificación de 200.000 mensual</t>
  </si>
  <si>
    <t xml:space="preserve"> 1 vendedor mínimo más 1.5% sobre ventas (ventas de enero $9.750.000)</t>
  </si>
  <si>
    <t>Todos tienen cooperativa 2,5%</t>
  </si>
  <si>
    <t>Diseñe una gráfica de columnas que muestre cargos y salario mensual</t>
  </si>
  <si>
    <t>Agregue las casillas que considere necesarias</t>
  </si>
  <si>
    <r>
      <rPr>
        <b/>
        <sz val="16"/>
        <rFont val="Stencil Std"/>
        <family val="3"/>
      </rPr>
      <t xml:space="preserve">I.E COLEGIO LOYOLA  PARA LA CIENCIA Y LA INNOVACIÓN    </t>
    </r>
    <r>
      <rPr>
        <b/>
        <sz val="11"/>
        <rFont val="Stencil Std"/>
        <family val="3"/>
      </rPr>
      <t xml:space="preserve">             </t>
    </r>
    <r>
      <rPr>
        <b/>
        <sz val="11"/>
        <rFont val="Trebuchet MS"/>
        <family val="2"/>
      </rPr>
      <t xml:space="preserve"> </t>
    </r>
  </si>
  <si>
    <t>NÓMINA 2</t>
  </si>
  <si>
    <t>PRENDAS DE LUJO paga nómina del 16 al 30  de Enero</t>
  </si>
  <si>
    <t>1Gerente $ 6.500.000.</t>
  </si>
  <si>
    <t>1 Jefe financiero $2.850.000. descuento prèstamo $ 180.000, mensual</t>
  </si>
  <si>
    <t>3 operarios mínimo 10 HED + 15 HEN + 1 festivo</t>
  </si>
  <si>
    <t xml:space="preserve"> 1 vendedor mínimo más 1.7% sobre ventas (ventas agosto $6.950.000)</t>
  </si>
  <si>
    <t>Todos tienen cooperativa 3,0%</t>
  </si>
  <si>
    <t>Diseñe una gráfica de columnas que muestre cargos y salario días</t>
  </si>
  <si>
    <t>EMPRESA: Prendas de Lujo</t>
  </si>
  <si>
    <t>Periodo de pago: 16 al 30 de Enero 2012</t>
  </si>
  <si>
    <t>Villa Rendón Jose Alberto</t>
  </si>
  <si>
    <t>Giraldo Cadavid Juan Camilo</t>
  </si>
  <si>
    <t xml:space="preserve">Osorio Tabares Martha Ligia </t>
  </si>
  <si>
    <t>Mora Grisales Alfredo</t>
  </si>
  <si>
    <t xml:space="preserve">Garcia Correa Luz Emit </t>
  </si>
  <si>
    <t>Ruiz Ocampo Alejandro</t>
  </si>
  <si>
    <t>Gerente</t>
  </si>
  <si>
    <t>Jefe Financiero</t>
  </si>
  <si>
    <t>Préstamo</t>
  </si>
  <si>
    <t>BLUSAS LA HERMOSURA paga nómina del 20 al 26 de marzo/2012</t>
  </si>
  <si>
    <t>1Gerente $ 7.490.000.</t>
  </si>
  <si>
    <t xml:space="preserve">1 Jefe producciòn $4.550.000 </t>
  </si>
  <si>
    <t xml:space="preserve">5 operarios mínimo </t>
  </si>
  <si>
    <t>2 vendedores mínimo más 1.5% sobre ventas (ventas agosto $7.950.000)</t>
  </si>
  <si>
    <t>Diseñe una gráfica de columnas que muestre nombres y salario bàsico</t>
  </si>
  <si>
    <t>Zapata Bolanios Filomeno</t>
  </si>
  <si>
    <t>Zuleta Sosa Sara</t>
  </si>
  <si>
    <t>Hincapie Lopez Cleopatra</t>
  </si>
  <si>
    <t>Steve Brayder</t>
  </si>
  <si>
    <t>Upegui Claudia</t>
  </si>
  <si>
    <t>Bolaños Rigoberto</t>
  </si>
  <si>
    <t>Suluaga Saldarriaga Santiago</t>
  </si>
  <si>
    <t>Jefe producción</t>
  </si>
  <si>
    <t xml:space="preserve">Zepulveda Osorio Juan </t>
  </si>
  <si>
    <t>Cespedes Ruiz Laura</t>
  </si>
  <si>
    <t>EMPRESA:  Blusas la hermosura</t>
  </si>
  <si>
    <t>Periodo de pago: 20 al 26 de Marzo 2012</t>
  </si>
  <si>
    <r>
      <rPr>
        <b/>
        <sz val="16"/>
        <rFont val="Stencil Std"/>
        <family val="3"/>
      </rPr>
      <t xml:space="preserve">I.E COLEGIO LOYOLA  PARA LA CIENCIA Y LA INNOVACIÓN </t>
    </r>
    <r>
      <rPr>
        <b/>
        <sz val="16"/>
        <rFont val="Trebuchet MS"/>
        <family val="2"/>
      </rPr>
      <t xml:space="preserve">   </t>
    </r>
    <r>
      <rPr>
        <b/>
        <sz val="11"/>
        <rFont val="Trebuchet MS"/>
        <family val="2"/>
      </rPr>
      <t xml:space="preserve">              </t>
    </r>
  </si>
  <si>
    <t>NÓMINA 4</t>
  </si>
  <si>
    <t>MODAS CREATIVAS paga nómina del 1 AL 30  Enero de 2012</t>
  </si>
  <si>
    <t>1 Director $ 8.180.000.</t>
  </si>
  <si>
    <t>1 dibujante $5.150.000. descuento prèstamo $ 190.000, mensual</t>
  </si>
  <si>
    <t>4 operarios mínimo 11H.E.N+1dominical.+ bonificación de 200.000 mensual</t>
  </si>
  <si>
    <t xml:space="preserve">2 mantenimiento $ 650.000. + 2 festivos + 10 HEN  </t>
  </si>
  <si>
    <t>uno de los operarios tiene descuento por préstamo de $ 150.000. mensual</t>
  </si>
  <si>
    <t>Agreque las casillas que crea necesarias</t>
  </si>
  <si>
    <t>EMPRESA: Modas Creativas</t>
  </si>
  <si>
    <t>Periodo de pago: 1 al 30 de Febrero 2012</t>
  </si>
  <si>
    <t>Gonzalez Toro Carmen</t>
  </si>
  <si>
    <t>Ruiz Cifuentes Luis David</t>
  </si>
  <si>
    <t>Mora Salamanca Estefania</t>
  </si>
  <si>
    <t>Chavez Velez Carmina</t>
  </si>
  <si>
    <t>Cuartas Ocampo Esteban</t>
  </si>
  <si>
    <t>Hernandez Lopez Carol</t>
  </si>
  <si>
    <t>Miranda Mesa Sebastian</t>
  </si>
  <si>
    <t>Idalgo Gomez Pedro</t>
  </si>
  <si>
    <t>Matenimiento</t>
  </si>
  <si>
    <r>
      <rPr>
        <b/>
        <sz val="16"/>
        <rFont val="Stencil Std"/>
        <family val="3"/>
      </rPr>
      <t xml:space="preserve">I.E COLEGIO LOYOLA  PARA LA CIENCIA Y LA INNOVACIÓN  </t>
    </r>
    <r>
      <rPr>
        <b/>
        <sz val="11"/>
        <rFont val="Trebuchet MS"/>
        <family val="2"/>
      </rPr>
      <t xml:space="preserve">                </t>
    </r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</si>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</sst>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\ #,##0_);\(&quot;$&quot;\ #,##0\)"/>
    <numFmt numFmtId="165" formatCode="_ * #,##0.00_ ;_ * \-#,##0.00_ ;_ * \-??_ ;_ @_ "/>
    <numFmt numFmtId="166" formatCode="_(* #,##0_);_(* \(#,##0\);_(* \-??_);_(@_)"/>
  </numFmts>
  <fonts count="19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Trebuchet MS"/>
      <family val="2"/>
    </font>
    <font>
      <b/>
      <sz val="11"/>
      <name val="Trebuchet MS"/>
      <family val="2"/>
    </font>
    <font>
      <sz val="11"/>
      <name val="Trebuchet MS"/>
      <family val="2"/>
    </font>
    <font>
      <b/>
      <sz val="11"/>
      <name val="Stencil Std"/>
      <family val="3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sz val="16"/>
      <name val="Stencil Std"/>
      <family val="3"/>
    </font>
    <font>
      <b/>
      <sz val="20"/>
      <name val="Trebuchet MS"/>
      <family val="2"/>
    </font>
    <font>
      <sz val="10"/>
      <name val="Trebuchet MS"/>
      <family val="2"/>
    </font>
    <font>
      <sz val="9"/>
      <name val="Trebuchet MS"/>
      <family val="2"/>
    </font>
    <font>
      <sz val="11"/>
      <color theme="1"/>
      <name val="Trebuchet MS"/>
      <family val="2"/>
    </font>
    <font>
      <b/>
      <sz val="16"/>
      <name val="Trebuchet MS"/>
      <family val="2"/>
    </font>
    <font>
      <b/>
      <sz val="20"/>
      <color theme="0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81FA50"/>
        <bgColor indexed="64"/>
      </patternFill>
    </fill>
    <fill>
      <patternFill patternType="solid">
        <fgColor rgb="FF75E59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0944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261">
    <xf numFmtId="0" fontId="1" fillId="0" borderId="0" xfId="0" applyFont="1"/>
    <xf numFmtId="0" fontId="2" fillId="0" borderId="0" xfId="0" applyFont="1"/>
    <xf numFmtId="0" fontId="5" fillId="0" borderId="1" xfId="0" applyFont="1" applyFill="1" applyBorder="1"/>
    <xf numFmtId="0" fontId="6" fillId="0" borderId="1" xfId="0" applyFont="1" applyFill="1" applyBorder="1" applyAlignment="1">
      <alignment vertical="center"/>
    </xf>
    <xf numFmtId="166" fontId="6" fillId="0" borderId="1" xfId="1" applyNumberFormat="1" applyFont="1" applyFill="1" applyBorder="1" applyAlignment="1" applyProtection="1"/>
    <xf numFmtId="166" fontId="6" fillId="0" borderId="1" xfId="0" applyNumberFormat="1" applyFont="1" applyFill="1" applyBorder="1"/>
    <xf numFmtId="0" fontId="6" fillId="0" borderId="1" xfId="0" applyFont="1" applyFill="1" applyBorder="1" applyAlignment="1"/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1" fillId="0" borderId="1" xfId="2" applyNumberFormat="1" applyFont="1" applyFill="1" applyBorder="1" applyAlignment="1" applyProtection="1">
      <alignment horizontal="right" vertical="center" wrapText="1"/>
    </xf>
    <xf numFmtId="166" fontId="1" fillId="0" borderId="1" xfId="2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1" fontId="6" fillId="0" borderId="4" xfId="0" applyNumberFormat="1" applyFont="1" applyFill="1" applyBorder="1" applyAlignment="1">
      <alignment vertical="center" wrapText="1"/>
    </xf>
    <xf numFmtId="1" fontId="6" fillId="0" borderId="1" xfId="0" applyNumberFormat="1" applyFont="1" applyFill="1" applyBorder="1" applyAlignment="1">
      <alignment vertical="center" wrapText="1"/>
    </xf>
    <xf numFmtId="166" fontId="5" fillId="0" borderId="1" xfId="1" applyNumberFormat="1" applyFont="1" applyFill="1" applyBorder="1" applyAlignment="1" applyProtection="1"/>
    <xf numFmtId="166" fontId="5" fillId="0" borderId="1" xfId="1" applyNumberFormat="1" applyFont="1" applyFill="1" applyBorder="1" applyAlignment="1" applyProtection="1">
      <alignment vertical="center"/>
    </xf>
    <xf numFmtId="0" fontId="8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5" fillId="0" borderId="1" xfId="1" applyNumberFormat="1" applyFont="1" applyFill="1" applyBorder="1" applyAlignment="1" applyProtection="1"/>
    <xf numFmtId="166" fontId="6" fillId="0" borderId="1" xfId="1" applyNumberFormat="1" applyFont="1" applyFill="1" applyBorder="1" applyAlignment="1" applyProtection="1">
      <alignment vertical="center"/>
    </xf>
    <xf numFmtId="0" fontId="6" fillId="0" borderId="1" xfId="0" applyFont="1" applyFill="1" applyBorder="1"/>
    <xf numFmtId="0" fontId="6" fillId="0" borderId="1" xfId="1" applyNumberFormat="1" applyFont="1" applyFill="1" applyBorder="1" applyAlignment="1" applyProtection="1"/>
    <xf numFmtId="0" fontId="6" fillId="0" borderId="17" xfId="0" applyFont="1" applyFill="1" applyBorder="1" applyAlignment="1">
      <alignment horizontal="left" vertical="center" wrapText="1"/>
    </xf>
    <xf numFmtId="0" fontId="11" fillId="5" borderId="5" xfId="3" applyFont="1" applyFill="1" applyBorder="1"/>
    <xf numFmtId="0" fontId="12" fillId="5" borderId="6" xfId="3" applyFont="1" applyFill="1" applyBorder="1"/>
    <xf numFmtId="0" fontId="12" fillId="5" borderId="7" xfId="3" applyFont="1" applyFill="1" applyBorder="1"/>
    <xf numFmtId="0" fontId="6" fillId="5" borderId="8" xfId="3" applyFont="1" applyFill="1" applyBorder="1" applyAlignment="1"/>
    <xf numFmtId="0" fontId="6" fillId="5" borderId="0" xfId="3" applyFont="1" applyFill="1" applyBorder="1" applyAlignment="1"/>
    <xf numFmtId="0" fontId="6" fillId="5" borderId="0" xfId="3" applyFont="1" applyFill="1" applyBorder="1"/>
    <xf numFmtId="0" fontId="6" fillId="5" borderId="9" xfId="3" applyFont="1" applyFill="1" applyBorder="1"/>
    <xf numFmtId="0" fontId="6" fillId="5" borderId="8" xfId="3" applyFont="1" applyFill="1" applyBorder="1"/>
    <xf numFmtId="0" fontId="6" fillId="5" borderId="8" xfId="3" applyFont="1" applyFill="1" applyBorder="1" applyAlignment="1">
      <alignment horizontal="left"/>
    </xf>
    <xf numFmtId="0" fontId="6" fillId="5" borderId="0" xfId="3" applyFont="1" applyFill="1" applyBorder="1" applyAlignment="1">
      <alignment horizontal="left"/>
    </xf>
    <xf numFmtId="0" fontId="5" fillId="5" borderId="8" xfId="3" applyFont="1" applyFill="1" applyBorder="1" applyAlignment="1"/>
    <xf numFmtId="0" fontId="6" fillId="5" borderId="0" xfId="3" applyFont="1" applyFill="1" applyBorder="1" applyAlignment="1">
      <alignment horizontal="center"/>
    </xf>
    <xf numFmtId="1" fontId="6" fillId="0" borderId="3" xfId="0" applyNumberFormat="1" applyFont="1" applyFill="1" applyBorder="1" applyAlignment="1">
      <alignment vertical="center" wrapText="1"/>
    </xf>
    <xf numFmtId="0" fontId="13" fillId="0" borderId="4" xfId="0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/>
    </xf>
    <xf numFmtId="0" fontId="12" fillId="0" borderId="1" xfId="2" applyNumberFormat="1" applyFont="1" applyFill="1" applyBorder="1" applyAlignment="1" applyProtection="1">
      <alignment horizontal="right" vertical="center" wrapText="1"/>
    </xf>
    <xf numFmtId="166" fontId="12" fillId="0" borderId="1" xfId="2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vertical="center" wrapText="1"/>
    </xf>
    <xf numFmtId="1" fontId="14" fillId="0" borderId="1" xfId="0" applyNumberFormat="1" applyFont="1" applyBorder="1" applyAlignment="1">
      <alignment horizontal="right"/>
    </xf>
    <xf numFmtId="0" fontId="12" fillId="0" borderId="16" xfId="2" applyNumberFormat="1" applyFont="1" applyFill="1" applyBorder="1" applyAlignment="1" applyProtection="1">
      <alignment horizontal="right" vertical="center" wrapText="1"/>
    </xf>
    <xf numFmtId="0" fontId="12" fillId="0" borderId="0" xfId="0" applyFont="1"/>
    <xf numFmtId="0" fontId="13" fillId="0" borderId="1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/>
    <xf numFmtId="0" fontId="12" fillId="6" borderId="6" xfId="0" applyFont="1" applyFill="1" applyBorder="1" applyAlignment="1"/>
    <xf numFmtId="0" fontId="12" fillId="6" borderId="6" xfId="0" applyFont="1" applyFill="1" applyBorder="1"/>
    <xf numFmtId="0" fontId="12" fillId="6" borderId="7" xfId="0" applyFont="1" applyFill="1" applyBorder="1"/>
    <xf numFmtId="0" fontId="12" fillId="6" borderId="8" xfId="0" applyFont="1" applyFill="1" applyBorder="1"/>
    <xf numFmtId="0" fontId="12" fillId="6" borderId="0" xfId="0" applyFont="1" applyFill="1" applyBorder="1"/>
    <xf numFmtId="0" fontId="12" fillId="6" borderId="9" xfId="0" applyFont="1" applyFill="1" applyBorder="1"/>
    <xf numFmtId="0" fontId="4" fillId="6" borderId="8" xfId="0" applyFont="1" applyFill="1" applyBorder="1" applyAlignment="1"/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/>
    <xf numFmtId="0" fontId="13" fillId="0" borderId="1" xfId="0" applyFont="1" applyFill="1" applyBorder="1" applyAlignment="1">
      <alignment vertical="center" wrapText="1"/>
    </xf>
    <xf numFmtId="1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/>
    </xf>
    <xf numFmtId="1" fontId="5" fillId="0" borderId="1" xfId="1" applyNumberFormat="1" applyFont="1" applyFill="1" applyBorder="1" applyAlignment="1" applyProtection="1"/>
    <xf numFmtId="1" fontId="5" fillId="0" borderId="1" xfId="0" applyNumberFormat="1" applyFont="1" applyFill="1" applyBorder="1" applyAlignment="1">
      <alignment vertical="center" wrapText="1"/>
    </xf>
    <xf numFmtId="166" fontId="5" fillId="0" borderId="1" xfId="0" applyNumberFormat="1" applyFont="1" applyFill="1" applyBorder="1"/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1" xfId="2" applyNumberFormat="1" applyFont="1" applyFill="1" applyBorder="1" applyAlignment="1" applyProtection="1">
      <alignment horizontal="right" vertical="center" wrapText="1"/>
    </xf>
    <xf numFmtId="166" fontId="6" fillId="0" borderId="1" xfId="2" applyNumberFormat="1" applyFont="1" applyFill="1" applyBorder="1" applyAlignment="1" applyProtection="1">
      <alignment horizontal="center" vertical="center" wrapText="1"/>
    </xf>
    <xf numFmtId="0" fontId="17" fillId="8" borderId="0" xfId="4" applyFont="1" applyFill="1" applyBorder="1" applyAlignment="1"/>
    <xf numFmtId="0" fontId="17" fillId="8" borderId="0" xfId="4" applyFont="1" applyFill="1" applyBorder="1"/>
    <xf numFmtId="0" fontId="17" fillId="8" borderId="9" xfId="4" applyFont="1" applyFill="1" applyBorder="1"/>
    <xf numFmtId="0" fontId="17" fillId="8" borderId="0" xfId="4" applyFont="1" applyFill="1" applyBorder="1" applyAlignment="1">
      <alignment horizontal="left"/>
    </xf>
    <xf numFmtId="0" fontId="17" fillId="8" borderId="9" xfId="0" applyFont="1" applyFill="1" applyBorder="1"/>
    <xf numFmtId="0" fontId="16" fillId="8" borderId="5" xfId="4" applyFont="1" applyFill="1" applyBorder="1"/>
    <xf numFmtId="0" fontId="17" fillId="8" borderId="6" xfId="4" applyFont="1" applyFill="1" applyBorder="1"/>
    <xf numFmtId="0" fontId="17" fillId="8" borderId="7" xfId="4" applyFont="1" applyFill="1" applyBorder="1"/>
    <xf numFmtId="0" fontId="17" fillId="8" borderId="8" xfId="4" applyFont="1" applyFill="1" applyBorder="1" applyAlignment="1"/>
    <xf numFmtId="0" fontId="17" fillId="8" borderId="8" xfId="4" applyFont="1" applyFill="1" applyBorder="1"/>
    <xf numFmtId="0" fontId="17" fillId="8" borderId="8" xfId="4" applyFont="1" applyFill="1" applyBorder="1" applyAlignment="1">
      <alignment horizontal="left"/>
    </xf>
    <xf numFmtId="0" fontId="18" fillId="8" borderId="8" xfId="4" applyFont="1" applyFill="1" applyBorder="1" applyAlignment="1"/>
    <xf numFmtId="0" fontId="18" fillId="8" borderId="10" xfId="4" applyFont="1" applyFill="1" applyBorder="1" applyAlignment="1"/>
    <xf numFmtId="0" fontId="18" fillId="8" borderId="11" xfId="4" applyFont="1" applyFill="1" applyBorder="1" applyAlignment="1"/>
    <xf numFmtId="0" fontId="18" fillId="8" borderId="11" xfId="4" applyFont="1" applyFill="1" applyBorder="1" applyAlignment="1">
      <alignment horizontal="center"/>
    </xf>
    <xf numFmtId="0" fontId="18" fillId="8" borderId="12" xfId="4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166" fontId="6" fillId="4" borderId="1" xfId="1" applyNumberFormat="1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/>
    </xf>
    <xf numFmtId="0" fontId="6" fillId="2" borderId="6" xfId="0" applyFont="1" applyFill="1" applyBorder="1" applyAlignment="1">
      <alignment horizontal="left" vertical="top"/>
    </xf>
    <xf numFmtId="0" fontId="6" fillId="2" borderId="7" xfId="0" applyFont="1" applyFill="1" applyBorder="1" applyAlignment="1">
      <alignment horizontal="left" vertical="top"/>
    </xf>
    <xf numFmtId="0" fontId="6" fillId="2" borderId="8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6" fillId="2" borderId="9" xfId="0" applyFont="1" applyFill="1" applyBorder="1" applyAlignment="1">
      <alignment horizontal="left" vertical="top"/>
    </xf>
    <xf numFmtId="0" fontId="6" fillId="2" borderId="10" xfId="0" applyFont="1" applyFill="1" applyBorder="1" applyAlignment="1">
      <alignment horizontal="left" vertical="top"/>
    </xf>
    <xf numFmtId="0" fontId="6" fillId="2" borderId="11" xfId="0" applyFont="1" applyFill="1" applyBorder="1" applyAlignment="1">
      <alignment horizontal="left" vertical="top"/>
    </xf>
    <xf numFmtId="0" fontId="6" fillId="2" borderId="12" xfId="0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5" borderId="10" xfId="3" applyFont="1" applyFill="1" applyBorder="1" applyAlignment="1">
      <alignment horizontal="center"/>
    </xf>
    <xf numFmtId="0" fontId="5" fillId="5" borderId="11" xfId="3" applyFont="1" applyFill="1" applyBorder="1" applyAlignment="1">
      <alignment horizontal="center"/>
    </xf>
    <xf numFmtId="0" fontId="5" fillId="5" borderId="12" xfId="3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left" vertical="top"/>
    </xf>
    <xf numFmtId="0" fontId="5" fillId="5" borderId="6" xfId="0" applyFont="1" applyFill="1" applyBorder="1" applyAlignment="1">
      <alignment horizontal="left" vertical="top"/>
    </xf>
    <xf numFmtId="0" fontId="6" fillId="5" borderId="6" xfId="0" applyFont="1" applyFill="1" applyBorder="1" applyAlignment="1">
      <alignment horizontal="left" vertical="top"/>
    </xf>
    <xf numFmtId="0" fontId="6" fillId="5" borderId="7" xfId="0" applyFont="1" applyFill="1" applyBorder="1" applyAlignment="1">
      <alignment horizontal="left" vertical="top"/>
    </xf>
    <xf numFmtId="0" fontId="6" fillId="5" borderId="8" xfId="0" applyFont="1" applyFill="1" applyBorder="1" applyAlignment="1">
      <alignment horizontal="left" vertical="top"/>
    </xf>
    <xf numFmtId="0" fontId="6" fillId="5" borderId="0" xfId="0" applyFont="1" applyFill="1" applyBorder="1" applyAlignment="1">
      <alignment horizontal="left" vertical="top"/>
    </xf>
    <xf numFmtId="0" fontId="6" fillId="5" borderId="9" xfId="0" applyFont="1" applyFill="1" applyBorder="1" applyAlignment="1">
      <alignment horizontal="left" vertical="top"/>
    </xf>
    <xf numFmtId="0" fontId="6" fillId="5" borderId="10" xfId="0" applyFont="1" applyFill="1" applyBorder="1" applyAlignment="1">
      <alignment horizontal="left" vertical="top"/>
    </xf>
    <xf numFmtId="0" fontId="6" fillId="5" borderId="11" xfId="0" applyFont="1" applyFill="1" applyBorder="1" applyAlignment="1">
      <alignment horizontal="left" vertical="top"/>
    </xf>
    <xf numFmtId="0" fontId="6" fillId="5" borderId="12" xfId="0" applyFont="1" applyFill="1" applyBorder="1" applyAlignment="1">
      <alignment horizontal="left" vertical="top"/>
    </xf>
    <xf numFmtId="0" fontId="12" fillId="6" borderId="8" xfId="0" applyFont="1" applyFill="1" applyBorder="1" applyAlignment="1">
      <alignment horizontal="left"/>
    </xf>
    <xf numFmtId="0" fontId="12" fillId="6" borderId="0" xfId="0" applyFont="1" applyFill="1" applyBorder="1" applyAlignment="1">
      <alignment horizontal="left"/>
    </xf>
    <xf numFmtId="0" fontId="4" fillId="6" borderId="10" xfId="0" applyFont="1" applyFill="1" applyBorder="1" applyAlignment="1">
      <alignment horizontal="center"/>
    </xf>
    <xf numFmtId="0" fontId="12" fillId="6" borderId="11" xfId="0" applyFont="1" applyFill="1" applyBorder="1" applyAlignment="1">
      <alignment horizontal="center"/>
    </xf>
    <xf numFmtId="0" fontId="12" fillId="6" borderId="12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/>
    </xf>
    <xf numFmtId="0" fontId="6" fillId="6" borderId="1" xfId="0" applyFont="1" applyFill="1" applyBorder="1" applyAlignment="1">
      <alignment horizontal="left" vertical="top"/>
    </xf>
    <xf numFmtId="0" fontId="5" fillId="7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/>
    </xf>
    <xf numFmtId="0" fontId="6" fillId="9" borderId="6" xfId="0" applyFont="1" applyFill="1" applyBorder="1" applyAlignment="1">
      <alignment horizontal="center"/>
    </xf>
    <xf numFmtId="0" fontId="6" fillId="9" borderId="7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/>
    </xf>
    <xf numFmtId="0" fontId="6" fillId="9" borderId="0" xfId="0" applyFont="1" applyFill="1" applyBorder="1" applyAlignment="1">
      <alignment horizontal="center"/>
    </xf>
    <xf numFmtId="0" fontId="6" fillId="9" borderId="9" xfId="0" applyFont="1" applyFill="1" applyBorder="1" applyAlignment="1">
      <alignment horizontal="center"/>
    </xf>
    <xf numFmtId="0" fontId="6" fillId="9" borderId="10" xfId="0" applyFont="1" applyFill="1" applyBorder="1" applyAlignment="1">
      <alignment horizontal="center"/>
    </xf>
    <xf numFmtId="0" fontId="6" fillId="9" borderId="11" xfId="0" applyFont="1" applyFill="1" applyBorder="1" applyAlignment="1">
      <alignment horizontal="center"/>
    </xf>
    <xf numFmtId="0" fontId="6" fillId="9" borderId="12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9" borderId="5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5" fillId="9" borderId="0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left" vertical="top"/>
    </xf>
    <xf numFmtId="0" fontId="5" fillId="9" borderId="6" xfId="0" applyFont="1" applyFill="1" applyBorder="1" applyAlignment="1">
      <alignment horizontal="left" vertical="top"/>
    </xf>
    <xf numFmtId="0" fontId="6" fillId="9" borderId="6" xfId="0" applyFont="1" applyFill="1" applyBorder="1" applyAlignment="1">
      <alignment horizontal="left" vertical="top"/>
    </xf>
    <xf numFmtId="0" fontId="6" fillId="9" borderId="7" xfId="0" applyFont="1" applyFill="1" applyBorder="1" applyAlignment="1">
      <alignment horizontal="left" vertical="top"/>
    </xf>
    <xf numFmtId="0" fontId="6" fillId="9" borderId="8" xfId="0" applyFont="1" applyFill="1" applyBorder="1" applyAlignment="1">
      <alignment horizontal="left" vertical="top"/>
    </xf>
    <xf numFmtId="0" fontId="6" fillId="9" borderId="0" xfId="0" applyFont="1" applyFill="1" applyBorder="1" applyAlignment="1">
      <alignment horizontal="left" vertical="top"/>
    </xf>
    <xf numFmtId="0" fontId="6" fillId="9" borderId="9" xfId="0" applyFont="1" applyFill="1" applyBorder="1" applyAlignment="1">
      <alignment horizontal="left" vertical="top"/>
    </xf>
    <xf numFmtId="0" fontId="6" fillId="9" borderId="10" xfId="0" applyFont="1" applyFill="1" applyBorder="1" applyAlignment="1">
      <alignment horizontal="left" vertical="top"/>
    </xf>
    <xf numFmtId="0" fontId="6" fillId="9" borderId="11" xfId="0" applyFont="1" applyFill="1" applyBorder="1" applyAlignment="1">
      <alignment horizontal="left" vertical="top"/>
    </xf>
    <xf numFmtId="0" fontId="6" fillId="9" borderId="12" xfId="0" applyFont="1" applyFill="1" applyBorder="1" applyAlignment="1">
      <alignment horizontal="left" vertical="top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 applyProtection="1">
      <alignment vertical="center"/>
    </xf>
    <xf numFmtId="0" fontId="6" fillId="0" borderId="1" xfId="0" applyNumberFormat="1" applyFont="1" applyFill="1" applyBorder="1"/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66" fontId="6" fillId="4" borderId="1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vertical="center" wrapText="1"/>
    </xf>
    <xf numFmtId="166" fontId="6" fillId="0" borderId="1" xfId="0" applyNumberFormat="1" applyFont="1" applyFill="1" applyBorder="1" applyAlignment="1">
      <alignment horizontal="center" vertical="center" wrapText="1"/>
    </xf>
  </cellXfs>
  <cellStyles count="5">
    <cellStyle name="Millares" xfId="1" builtinId="3"/>
    <cellStyle name="Millares_Hoja1" xfId="2"/>
    <cellStyle name="Normal" xfId="0" builtinId="0"/>
    <cellStyle name="Normal 4" xfId="3"/>
    <cellStyle name="Normal 6" xfId="4"/>
  </cellStyles>
  <dxfs count="0"/>
  <tableStyles count="0" defaultTableStyle="TableStyleMedium9" defaultPivotStyle="PivotStyleLight16"/>
  <colors>
    <mruColors>
      <color rgb="FF0944FF"/>
      <color rgb="FF0033CC"/>
      <color rgb="FF75E590"/>
      <color rgb="FF9900CC"/>
      <color rgb="FF8D42C6"/>
      <color rgb="FF81FA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Salario y cargos de los empleados MODAS LINDAS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'[1]NÓMINA 1'!$D$5</c:f>
              <c:strCache>
                <c:ptCount val="1"/>
                <c:pt idx="0">
                  <c:v>Salario</c:v>
                </c:pt>
              </c:strCache>
            </c:strRef>
          </c:tx>
          <c:invertIfNegative val="0"/>
          <c:cat>
            <c:strRef>
              <c:f>'[1]NÓMINA 1'!$C$6:$C$12</c:f>
              <c:strCache>
                <c:ptCount val="7"/>
                <c:pt idx="0">
                  <c:v>Director</c:v>
                </c:pt>
                <c:pt idx="1">
                  <c:v>Dibujante</c:v>
                </c:pt>
                <c:pt idx="2">
                  <c:v>Operario</c:v>
                </c:pt>
                <c:pt idx="3">
                  <c:v>Operario</c:v>
                </c:pt>
                <c:pt idx="4">
                  <c:v>Operario</c:v>
                </c:pt>
                <c:pt idx="5">
                  <c:v>Operario</c:v>
                </c:pt>
                <c:pt idx="6">
                  <c:v>Vendedor</c:v>
                </c:pt>
              </c:strCache>
            </c:strRef>
          </c:cat>
          <c:val>
            <c:numRef>
              <c:f>'[1]NÓMINA 1'!$D$6:$D$12</c:f>
              <c:numCache>
                <c:formatCode>General</c:formatCode>
                <c:ptCount val="7"/>
                <c:pt idx="0">
                  <c:v>3458000</c:v>
                </c:pt>
                <c:pt idx="1">
                  <c:v>2450000</c:v>
                </c:pt>
                <c:pt idx="2">
                  <c:v>566700</c:v>
                </c:pt>
                <c:pt idx="3">
                  <c:v>566700</c:v>
                </c:pt>
                <c:pt idx="4">
                  <c:v>566700</c:v>
                </c:pt>
                <c:pt idx="5">
                  <c:v>566700</c:v>
                </c:pt>
                <c:pt idx="6">
                  <c:v>566700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182208"/>
        <c:axId val="69183744"/>
      </c:barChart>
      <c:catAx>
        <c:axId val="691822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s-ES"/>
          </a:p>
        </c:txPr>
        <c:crossAx val="69183744"/>
        <c:crosses val="autoZero"/>
        <c:auto val="1"/>
        <c:lblAlgn val="ctr"/>
        <c:lblOffset val="100"/>
        <c:noMultiLvlLbl val="0"/>
      </c:catAx>
      <c:valAx>
        <c:axId val="69183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s-ES"/>
          </a:p>
        </c:txPr>
        <c:crossAx val="691822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4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Salario y cargos de los empleados PRENDAS DE LUJO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'[1]NÓMINA 2'!$D$5</c:f>
              <c:strCache>
                <c:ptCount val="1"/>
                <c:pt idx="0">
                  <c:v>Salario</c:v>
                </c:pt>
              </c:strCache>
            </c:strRef>
          </c:tx>
          <c:invertIfNegative val="0"/>
          <c:cat>
            <c:strRef>
              <c:f>'[1]NÓMINA 2'!$C$6:$C$11</c:f>
              <c:strCache>
                <c:ptCount val="6"/>
                <c:pt idx="0">
                  <c:v>Gerente</c:v>
                </c:pt>
                <c:pt idx="1">
                  <c:v>Jefe Financiero</c:v>
                </c:pt>
                <c:pt idx="2">
                  <c:v>Operario</c:v>
                </c:pt>
                <c:pt idx="3">
                  <c:v>Operario</c:v>
                </c:pt>
                <c:pt idx="4">
                  <c:v>Operario</c:v>
                </c:pt>
                <c:pt idx="5">
                  <c:v>Vendedor</c:v>
                </c:pt>
              </c:strCache>
            </c:strRef>
          </c:cat>
          <c:val>
            <c:numRef>
              <c:f>'[1]NÓMINA 2'!$D$6:$D$11</c:f>
              <c:numCache>
                <c:formatCode>General</c:formatCode>
                <c:ptCount val="6"/>
                <c:pt idx="0">
                  <c:v>6500000</c:v>
                </c:pt>
                <c:pt idx="1">
                  <c:v>2850000</c:v>
                </c:pt>
                <c:pt idx="2">
                  <c:v>566700</c:v>
                </c:pt>
                <c:pt idx="3">
                  <c:v>566700</c:v>
                </c:pt>
                <c:pt idx="4">
                  <c:v>566700</c:v>
                </c:pt>
                <c:pt idx="5">
                  <c:v>566700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47776"/>
        <c:axId val="73949568"/>
      </c:barChart>
      <c:catAx>
        <c:axId val="73947776"/>
        <c:scaling>
          <c:orientation val="minMax"/>
        </c:scaling>
        <c:delete val="0"/>
        <c:axPos val="b"/>
        <c:majorTickMark val="out"/>
        <c:minorTickMark val="none"/>
        <c:tickLblPos val="nextTo"/>
        <c:crossAx val="73949568"/>
        <c:crosses val="autoZero"/>
        <c:auto val="1"/>
        <c:lblAlgn val="ctr"/>
        <c:lblOffset val="100"/>
        <c:noMultiLvlLbl val="0"/>
      </c:catAx>
      <c:valAx>
        <c:axId val="739495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39477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Salario y cargos de los empleados</a:t>
            </a:r>
            <a:r>
              <a:rPr lang="en-US" baseline="0"/>
              <a:t> de BLUSAS LA HERMOSURA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173922639720742"/>
          <c:y val="0.19602401948556925"/>
          <c:w val="0.76751184843015363"/>
          <c:h val="0.387287793640778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'[1]NÓMINA 3'!$D$5</c:f>
              <c:strCache>
                <c:ptCount val="1"/>
                <c:pt idx="0">
                  <c:v>Salario</c:v>
                </c:pt>
              </c:strCache>
            </c:strRef>
          </c:tx>
          <c:invertIfNegative val="0"/>
          <c:cat>
            <c:strRef>
              <c:f>'[1]NÓMINA 3'!$B$6:$B$14</c:f>
              <c:strCache>
                <c:ptCount val="9"/>
                <c:pt idx="0">
                  <c:v>Montoya Restrepo Sebastian</c:v>
                </c:pt>
                <c:pt idx="1">
                  <c:v>Espinosa Taborda Veronica</c:v>
                </c:pt>
                <c:pt idx="2">
                  <c:v>Soto Valencia Rodolfo</c:v>
                </c:pt>
                <c:pt idx="3">
                  <c:v>Salazar Herrera Felipe</c:v>
                </c:pt>
                <c:pt idx="4">
                  <c:v>Sandoval Miranda Manuel</c:v>
                </c:pt>
                <c:pt idx="5">
                  <c:v>De La Salleg Juan José</c:v>
                </c:pt>
                <c:pt idx="6">
                  <c:v>Sepulveda Herrera Alejandro</c:v>
                </c:pt>
                <c:pt idx="7">
                  <c:v>Castaño Giraldo Daniel</c:v>
                </c:pt>
                <c:pt idx="8">
                  <c:v>Acosta Guyader David</c:v>
                </c:pt>
              </c:strCache>
            </c:strRef>
          </c:cat>
          <c:val>
            <c:numRef>
              <c:f>'[1]NÓMINA 3'!$D$6:$D$14</c:f>
              <c:numCache>
                <c:formatCode>General</c:formatCode>
                <c:ptCount val="9"/>
                <c:pt idx="0">
                  <c:v>7490000</c:v>
                </c:pt>
                <c:pt idx="1">
                  <c:v>4550000</c:v>
                </c:pt>
                <c:pt idx="2">
                  <c:v>566700</c:v>
                </c:pt>
                <c:pt idx="3">
                  <c:v>566700</c:v>
                </c:pt>
                <c:pt idx="4">
                  <c:v>566700</c:v>
                </c:pt>
                <c:pt idx="5">
                  <c:v>566700</c:v>
                </c:pt>
                <c:pt idx="6">
                  <c:v>566700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14368"/>
        <c:axId val="73115904"/>
      </c:barChart>
      <c:catAx>
        <c:axId val="73114368"/>
        <c:scaling>
          <c:orientation val="minMax"/>
        </c:scaling>
        <c:delete val="0"/>
        <c:axPos val="b"/>
        <c:majorTickMark val="out"/>
        <c:minorTickMark val="none"/>
        <c:tickLblPos val="nextTo"/>
        <c:crossAx val="73115904"/>
        <c:crosses val="autoZero"/>
        <c:auto val="1"/>
        <c:lblAlgn val="ctr"/>
        <c:lblOffset val="100"/>
        <c:noMultiLvlLbl val="0"/>
      </c:catAx>
      <c:valAx>
        <c:axId val="73115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31143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22412</xdr:colOff>
      <xdr:row>1</xdr:row>
      <xdr:rowOff>224117</xdr:rowOff>
    </xdr:from>
    <xdr:to>
      <xdr:col>1</xdr:col>
      <xdr:colOff>480733</xdr:colOff>
      <xdr:row>2</xdr:row>
      <xdr:rowOff>386976</xdr:rowOff>
    </xdr:to>
    <xdr:pic>
      <xdr:nvPicPr>
        <xdr:cNvPr id="3" name="1 Imagen" descr="Final.jpg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2412" y="515470"/>
          <a:ext cx="839321" cy="5214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89647</xdr:colOff>
      <xdr:row>14</xdr:row>
      <xdr:rowOff>22412</xdr:rowOff>
    </xdr:from>
    <xdr:to>
      <xdr:col>2</xdr:col>
      <xdr:colOff>280147</xdr:colOff>
      <xdr:row>25</xdr:row>
      <xdr:rowOff>184006</xdr:rowOff>
    </xdr:to>
    <xdr:pic>
      <xdr:nvPicPr>
        <xdr:cNvPr id="4" name="3 Imagen" descr="fashion1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0647" y="3955677"/>
          <a:ext cx="1658471" cy="2133829"/>
        </a:xfrm>
        <a:prstGeom prst="rect">
          <a:avLst/>
        </a:prstGeom>
      </xdr:spPr>
    </xdr:pic>
    <xdr:clientData/>
  </xdr:twoCellAnchor>
  <xdr:twoCellAnchor>
    <xdr:from>
      <xdr:col>13</xdr:col>
      <xdr:colOff>40821</xdr:colOff>
      <xdr:row>29</xdr:row>
      <xdr:rowOff>122465</xdr:rowOff>
    </xdr:from>
    <xdr:to>
      <xdr:col>21</xdr:col>
      <xdr:colOff>734786</xdr:colOff>
      <xdr:row>46</xdr:row>
      <xdr:rowOff>40823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169636</xdr:rowOff>
    </xdr:from>
    <xdr:to>
      <xdr:col>1</xdr:col>
      <xdr:colOff>263780</xdr:colOff>
      <xdr:row>2</xdr:row>
      <xdr:rowOff>332207</xdr:rowOff>
    </xdr:to>
    <xdr:pic>
      <xdr:nvPicPr>
        <xdr:cNvPr id="4" name="1 Imagen" descr="Final.jpg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564243"/>
          <a:ext cx="848887" cy="5299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28</xdr:row>
      <xdr:rowOff>0</xdr:rowOff>
    </xdr:from>
    <xdr:to>
      <xdr:col>19</xdr:col>
      <xdr:colOff>81643</xdr:colOff>
      <xdr:row>42</xdr:row>
      <xdr:rowOff>95250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164224</xdr:colOff>
      <xdr:row>13</xdr:row>
      <xdr:rowOff>65690</xdr:rowOff>
    </xdr:from>
    <xdr:to>
      <xdr:col>2</xdr:col>
      <xdr:colOff>459827</xdr:colOff>
      <xdr:row>24</xdr:row>
      <xdr:rowOff>59121</xdr:rowOff>
    </xdr:to>
    <xdr:pic>
      <xdr:nvPicPr>
        <xdr:cNvPr id="6" name="5 Imagen" descr="advertising_custom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4224" y="3810000"/>
          <a:ext cx="2660431" cy="21283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30</xdr:row>
      <xdr:rowOff>131380</xdr:rowOff>
    </xdr:from>
    <xdr:to>
      <xdr:col>19</xdr:col>
      <xdr:colOff>739008</xdr:colOff>
      <xdr:row>47</xdr:row>
      <xdr:rowOff>147801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</xdr:row>
      <xdr:rowOff>109905</xdr:rowOff>
    </xdr:from>
    <xdr:to>
      <xdr:col>1</xdr:col>
      <xdr:colOff>387494</xdr:colOff>
      <xdr:row>3</xdr:row>
      <xdr:rowOff>3762</xdr:rowOff>
    </xdr:to>
    <xdr:pic>
      <xdr:nvPicPr>
        <xdr:cNvPr id="5" name="1 Imagen" descr="Final.jpg"/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378559"/>
          <a:ext cx="839321" cy="516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</xdr:row>
      <xdr:rowOff>143774</xdr:rowOff>
    </xdr:from>
    <xdr:to>
      <xdr:col>2</xdr:col>
      <xdr:colOff>873775</xdr:colOff>
      <xdr:row>27</xdr:row>
      <xdr:rowOff>1</xdr:rowOff>
    </xdr:to>
    <xdr:pic>
      <xdr:nvPicPr>
        <xdr:cNvPr id="6" name="5 Imagen" descr="fashion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4061604"/>
          <a:ext cx="2886605" cy="21745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72160</xdr:rowOff>
    </xdr:from>
    <xdr:to>
      <xdr:col>1</xdr:col>
      <xdr:colOff>344623</xdr:colOff>
      <xdr:row>3</xdr:row>
      <xdr:rowOff>19075</xdr:rowOff>
    </xdr:to>
    <xdr:pic>
      <xdr:nvPicPr>
        <xdr:cNvPr id="4" name="1 Imagen" descr="Final.jpg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447387"/>
          <a:ext cx="849737" cy="524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230909</xdr:colOff>
      <xdr:row>15</xdr:row>
      <xdr:rowOff>39831</xdr:rowOff>
    </xdr:from>
    <xdr:to>
      <xdr:col>2</xdr:col>
      <xdr:colOff>721590</xdr:colOff>
      <xdr:row>26</xdr:row>
      <xdr:rowOff>140853</xdr:rowOff>
    </xdr:to>
    <xdr:pic>
      <xdr:nvPicPr>
        <xdr:cNvPr id="5" name="4 Imagen" descr="Escuelas-de-diseño-de-modas-para-damas-en-Brasil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909" y="4297217"/>
          <a:ext cx="2886363" cy="24245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BIA/Downloads/TRABAJO+N&#211;MINA+U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ÓMINA 1"/>
      <sheetName val="NÓMINA 2"/>
      <sheetName val="NÓMINA 3"/>
      <sheetName val="NÓMINA 4"/>
    </sheetNames>
    <sheetDataSet>
      <sheetData sheetId="0">
        <row r="5">
          <cell r="D5" t="str">
            <v>Salario</v>
          </cell>
        </row>
        <row r="6">
          <cell r="C6" t="str">
            <v>Director</v>
          </cell>
          <cell r="D6">
            <v>3458000</v>
          </cell>
        </row>
        <row r="7">
          <cell r="C7" t="str">
            <v>Dibujante</v>
          </cell>
          <cell r="D7">
            <v>2450000</v>
          </cell>
        </row>
        <row r="8">
          <cell r="C8" t="str">
            <v>Operario</v>
          </cell>
          <cell r="D8">
            <v>566700</v>
          </cell>
        </row>
        <row r="9">
          <cell r="C9" t="str">
            <v>Operario</v>
          </cell>
          <cell r="D9">
            <v>566700</v>
          </cell>
        </row>
        <row r="10">
          <cell r="C10" t="str">
            <v>Operario</v>
          </cell>
          <cell r="D10">
            <v>566700</v>
          </cell>
        </row>
        <row r="11">
          <cell r="C11" t="str">
            <v>Operario</v>
          </cell>
          <cell r="D11">
            <v>566700</v>
          </cell>
        </row>
        <row r="12">
          <cell r="C12" t="str">
            <v>Vendedor</v>
          </cell>
          <cell r="D12">
            <v>566700</v>
          </cell>
        </row>
      </sheetData>
      <sheetData sheetId="1">
        <row r="5">
          <cell r="D5" t="str">
            <v>Salario</v>
          </cell>
        </row>
        <row r="6">
          <cell r="C6" t="str">
            <v>Gerente</v>
          </cell>
          <cell r="D6">
            <v>6500000</v>
          </cell>
        </row>
        <row r="7">
          <cell r="C7" t="str">
            <v>Jefe Financiero</v>
          </cell>
          <cell r="D7">
            <v>2850000</v>
          </cell>
        </row>
        <row r="8">
          <cell r="C8" t="str">
            <v>Operario</v>
          </cell>
          <cell r="D8">
            <v>566700</v>
          </cell>
        </row>
        <row r="9">
          <cell r="C9" t="str">
            <v>Operario</v>
          </cell>
          <cell r="D9">
            <v>566700</v>
          </cell>
        </row>
        <row r="10">
          <cell r="C10" t="str">
            <v>Operario</v>
          </cell>
          <cell r="D10">
            <v>566700</v>
          </cell>
        </row>
        <row r="11">
          <cell r="C11" t="str">
            <v>Vendedor</v>
          </cell>
          <cell r="D11">
            <v>566700</v>
          </cell>
        </row>
      </sheetData>
      <sheetData sheetId="2">
        <row r="5">
          <cell r="D5" t="str">
            <v>Salario</v>
          </cell>
        </row>
        <row r="6">
          <cell r="B6" t="str">
            <v>Montoya Restrepo Sebastian</v>
          </cell>
          <cell r="D6">
            <v>7490000</v>
          </cell>
        </row>
        <row r="7">
          <cell r="B7" t="str">
            <v>Espinosa Taborda Veronica</v>
          </cell>
          <cell r="D7">
            <v>4550000</v>
          </cell>
        </row>
        <row r="8">
          <cell r="B8" t="str">
            <v>Soto Valencia Rodolfo</v>
          </cell>
          <cell r="D8">
            <v>566700</v>
          </cell>
        </row>
        <row r="9">
          <cell r="B9" t="str">
            <v>Salazar Herrera Felipe</v>
          </cell>
          <cell r="D9">
            <v>566700</v>
          </cell>
        </row>
        <row r="10">
          <cell r="B10" t="str">
            <v>Sandoval Miranda Manuel</v>
          </cell>
          <cell r="D10">
            <v>566700</v>
          </cell>
        </row>
        <row r="11">
          <cell r="B11" t="str">
            <v>De La Salleg Juan José</v>
          </cell>
          <cell r="D11">
            <v>566700</v>
          </cell>
        </row>
        <row r="12">
          <cell r="B12" t="str">
            <v>Sepulveda Herrera Alejandro</v>
          </cell>
          <cell r="D12">
            <v>566700</v>
          </cell>
        </row>
        <row r="13">
          <cell r="B13" t="str">
            <v>Castaño Giraldo Daniel</v>
          </cell>
        </row>
        <row r="14">
          <cell r="B14" t="str">
            <v>Acosta Guyader David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38"/>
  <sheetViews>
    <sheetView tabSelected="1" topLeftCell="C2" zoomScaleNormal="100" workbookViewId="0">
      <selection activeCell="O1" sqref="O1:Y3"/>
    </sheetView>
  </sheetViews>
  <sheetFormatPr baseColWidth="10" defaultColWidth="11" defaultRowHeight="12.75"/>
  <cols>
    <col min="1" max="1" width="5.7109375" style="1" customWidth="1"/>
    <col min="2" max="2" width="22" style="1" customWidth="1"/>
    <col min="3" max="3" width="13.85546875" style="1" customWidth="1"/>
    <col min="4" max="4" width="16.85546875" customWidth="1"/>
    <col min="5" max="5" width="13.140625" customWidth="1"/>
    <col min="6" max="6" width="13" customWidth="1"/>
    <col min="7" max="7" width="8.28515625" customWidth="1"/>
    <col min="8" max="8" width="13.85546875" style="1" customWidth="1"/>
    <col min="9" max="9" width="14.140625" style="1" customWidth="1"/>
    <col min="10" max="10" width="7.140625" style="1" customWidth="1"/>
    <col min="11" max="11" width="9.42578125" style="1" customWidth="1"/>
    <col min="12" max="12" width="7.28515625" style="1" customWidth="1"/>
    <col min="13" max="14" width="9.140625" style="1" customWidth="1"/>
    <col min="15" max="15" width="12.42578125" style="1" customWidth="1"/>
    <col min="16" max="16" width="14.28515625" style="1" customWidth="1"/>
    <col min="17" max="17" width="12.42578125" style="1" customWidth="1"/>
    <col min="18" max="18" width="15.5703125" style="1" customWidth="1"/>
    <col min="19" max="19" width="11.85546875" style="1" customWidth="1"/>
    <col min="20" max="20" width="10.140625" style="1" customWidth="1"/>
    <col min="21" max="22" width="13" style="1" customWidth="1"/>
    <col min="23" max="23" width="14.28515625" style="1" customWidth="1"/>
    <col min="24" max="24" width="16.140625" style="1" customWidth="1"/>
    <col min="25" max="25" width="14.42578125" customWidth="1"/>
  </cols>
  <sheetData>
    <row r="1" spans="1:25" ht="22.5" customHeight="1">
      <c r="A1" s="103" t="s">
        <v>69</v>
      </c>
      <c r="B1" s="104"/>
      <c r="C1" s="104"/>
      <c r="D1" s="104"/>
      <c r="E1" s="104"/>
      <c r="F1" s="105"/>
      <c r="G1" s="103" t="s">
        <v>0</v>
      </c>
      <c r="H1" s="104"/>
      <c r="I1" s="104"/>
      <c r="J1" s="104"/>
      <c r="K1" s="104"/>
      <c r="L1" s="104"/>
      <c r="M1" s="104"/>
      <c r="N1" s="105"/>
      <c r="O1" s="140" t="s">
        <v>1</v>
      </c>
      <c r="P1" s="141"/>
      <c r="Q1" s="141"/>
      <c r="R1" s="142"/>
      <c r="S1" s="142"/>
      <c r="T1" s="142"/>
      <c r="U1" s="142"/>
      <c r="V1" s="142"/>
      <c r="W1" s="142"/>
      <c r="X1" s="142"/>
      <c r="Y1" s="143"/>
    </row>
    <row r="2" spans="1:25" ht="28.5" customHeight="1">
      <c r="A2" s="106"/>
      <c r="B2" s="107"/>
      <c r="C2" s="107"/>
      <c r="D2" s="107"/>
      <c r="E2" s="107"/>
      <c r="F2" s="108"/>
      <c r="G2" s="125" t="s">
        <v>38</v>
      </c>
      <c r="H2" s="126"/>
      <c r="I2" s="126"/>
      <c r="J2" s="126"/>
      <c r="K2" s="126"/>
      <c r="L2" s="126"/>
      <c r="M2" s="126"/>
      <c r="N2" s="127"/>
      <c r="O2" s="144"/>
      <c r="P2" s="145"/>
      <c r="Q2" s="145"/>
      <c r="R2" s="145"/>
      <c r="S2" s="145"/>
      <c r="T2" s="145"/>
      <c r="U2" s="145"/>
      <c r="V2" s="145"/>
      <c r="W2" s="145"/>
      <c r="X2" s="145"/>
      <c r="Y2" s="146"/>
    </row>
    <row r="3" spans="1:25" ht="38.25" customHeight="1">
      <c r="A3" s="109"/>
      <c r="B3" s="110"/>
      <c r="C3" s="110"/>
      <c r="D3" s="110"/>
      <c r="E3" s="110"/>
      <c r="F3" s="111"/>
      <c r="G3" s="128" t="s">
        <v>39</v>
      </c>
      <c r="H3" s="129"/>
      <c r="I3" s="129"/>
      <c r="J3" s="129"/>
      <c r="K3" s="129"/>
      <c r="L3" s="129"/>
      <c r="M3" s="129"/>
      <c r="N3" s="130"/>
      <c r="O3" s="147"/>
      <c r="P3" s="148"/>
      <c r="Q3" s="148"/>
      <c r="R3" s="148"/>
      <c r="S3" s="148"/>
      <c r="T3" s="148"/>
      <c r="U3" s="148"/>
      <c r="V3" s="148"/>
      <c r="W3" s="148"/>
      <c r="X3" s="148"/>
      <c r="Y3" s="149"/>
    </row>
    <row r="4" spans="1:25" ht="15" customHeight="1">
      <c r="A4" s="158" t="s">
        <v>2</v>
      </c>
      <c r="B4" s="101" t="s">
        <v>3</v>
      </c>
      <c r="C4" s="101" t="s">
        <v>49</v>
      </c>
      <c r="D4" s="101" t="s">
        <v>4</v>
      </c>
      <c r="E4" s="101" t="s">
        <v>54</v>
      </c>
      <c r="F4" s="101" t="s">
        <v>55</v>
      </c>
      <c r="G4" s="101" t="s">
        <v>56</v>
      </c>
      <c r="H4" s="160" t="s">
        <v>5</v>
      </c>
      <c r="I4" s="160"/>
      <c r="J4" s="160"/>
      <c r="K4" s="160"/>
      <c r="L4" s="160"/>
      <c r="M4" s="160"/>
      <c r="N4" s="160"/>
      <c r="O4" s="160"/>
      <c r="P4" s="150" t="s">
        <v>6</v>
      </c>
      <c r="Q4" s="151"/>
      <c r="R4" s="151"/>
      <c r="S4" s="151"/>
      <c r="T4" s="151"/>
      <c r="U4" s="151"/>
      <c r="V4" s="151"/>
      <c r="W4" s="151"/>
      <c r="X4" s="152"/>
      <c r="Y4" s="101" t="s">
        <v>7</v>
      </c>
    </row>
    <row r="5" spans="1:25" ht="33.75" customHeight="1">
      <c r="A5" s="159"/>
      <c r="B5" s="102"/>
      <c r="C5" s="102"/>
      <c r="D5" s="102"/>
      <c r="E5" s="102"/>
      <c r="F5" s="102"/>
      <c r="G5" s="102"/>
      <c r="H5" s="10" t="s">
        <v>8</v>
      </c>
      <c r="I5" s="10" t="s">
        <v>9</v>
      </c>
      <c r="J5" s="10" t="s">
        <v>36</v>
      </c>
      <c r="K5" s="10" t="s">
        <v>10</v>
      </c>
      <c r="L5" s="10" t="s">
        <v>37</v>
      </c>
      <c r="M5" s="10" t="s">
        <v>11</v>
      </c>
      <c r="N5" s="10" t="s">
        <v>37</v>
      </c>
      <c r="O5" s="10" t="s">
        <v>34</v>
      </c>
      <c r="P5" s="10" t="s">
        <v>57</v>
      </c>
      <c r="Q5" s="10" t="s">
        <v>58</v>
      </c>
      <c r="R5" s="10" t="s">
        <v>35</v>
      </c>
      <c r="S5" s="10" t="s">
        <v>12</v>
      </c>
      <c r="T5" s="10" t="s">
        <v>40</v>
      </c>
      <c r="U5" s="10" t="s">
        <v>18</v>
      </c>
      <c r="V5" s="10" t="s">
        <v>59</v>
      </c>
      <c r="W5" s="10" t="s">
        <v>41</v>
      </c>
      <c r="X5" s="10" t="s">
        <v>13</v>
      </c>
      <c r="Y5" s="102"/>
    </row>
    <row r="6" spans="1:25" ht="24">
      <c r="A6" s="3">
        <v>1</v>
      </c>
      <c r="B6" s="11" t="s">
        <v>48</v>
      </c>
      <c r="C6" s="12" t="s">
        <v>50</v>
      </c>
      <c r="D6" s="14">
        <v>3580000</v>
      </c>
      <c r="E6" s="14">
        <v>0</v>
      </c>
      <c r="F6" s="15">
        <v>13</v>
      </c>
      <c r="G6" s="16">
        <v>15</v>
      </c>
      <c r="H6" s="13">
        <f>IF(G6=30,D6,(D6/30)*G6)</f>
        <v>1790000</v>
      </c>
      <c r="I6" s="8">
        <f>IF(D6&lt;=1133400,(67800/30)*G6,0)</f>
        <v>0</v>
      </c>
      <c r="J6" s="19">
        <v>0</v>
      </c>
      <c r="K6" s="20">
        <f>IF(J6&lt;&gt;0,(D6/240)*125%,0)</f>
        <v>0</v>
      </c>
      <c r="L6" s="19">
        <v>0</v>
      </c>
      <c r="M6" s="21">
        <f>IF(L6&lt;&gt;0,(D6/240)*175%,0)</f>
        <v>0</v>
      </c>
      <c r="N6" s="19">
        <v>0</v>
      </c>
      <c r="O6" s="8">
        <f>IF(N6&lt;&gt;0,N6*(D6/240)*175%,0)</f>
        <v>0</v>
      </c>
      <c r="P6" s="8">
        <f>IF(C6="Operario",(200000/30)*G6,0)</f>
        <v>0</v>
      </c>
      <c r="Q6" s="8">
        <f>IF(E6&lt;&gt;0,E6*1.5%,0)</f>
        <v>0</v>
      </c>
      <c r="R6" s="8">
        <f>SUM(H6,I6,K6,M6,O6,P6:Q6)</f>
        <v>1790000</v>
      </c>
      <c r="S6" s="8"/>
      <c r="T6" s="8">
        <f>IF(D6&gt;=(566700*4),H6*5%,H6*4%)</f>
        <v>89500</v>
      </c>
      <c r="U6" s="8"/>
      <c r="V6" s="8">
        <f>IF(C6="Dibujante",(170000/30)*G6,0)</f>
        <v>0</v>
      </c>
      <c r="W6" s="8">
        <f>H6*2.5%</f>
        <v>44750</v>
      </c>
      <c r="X6" s="4"/>
      <c r="Y6" s="5"/>
    </row>
    <row r="7" spans="1:25" ht="24">
      <c r="A7" s="3">
        <v>2</v>
      </c>
      <c r="B7" s="11" t="s">
        <v>42</v>
      </c>
      <c r="C7" s="12" t="s">
        <v>51</v>
      </c>
      <c r="D7" s="14">
        <v>2450000</v>
      </c>
      <c r="E7" s="14">
        <v>0</v>
      </c>
      <c r="F7" s="15">
        <v>13</v>
      </c>
      <c r="G7" s="16">
        <v>15</v>
      </c>
      <c r="H7" s="13">
        <f t="shared" ref="H7:H12" si="0">IF(G7=30,D7,(D7/30)*G7)</f>
        <v>1225000</v>
      </c>
      <c r="I7" s="8">
        <f t="shared" ref="I7:I12" si="1">IF(D7&lt;=1133400,(67800/30)*G7,0)</f>
        <v>0</v>
      </c>
      <c r="J7" s="19">
        <v>0</v>
      </c>
      <c r="K7" s="20">
        <f t="shared" ref="K7:K12" si="2">IF(J7&lt;&gt;0,(D7/240)*125%,0)</f>
        <v>0</v>
      </c>
      <c r="L7" s="19">
        <v>5</v>
      </c>
      <c r="M7" s="22">
        <f t="shared" ref="M7:M12" si="3">IF(L7&lt;&gt;0,(D7/240)*175%,0)</f>
        <v>17864.583333333336</v>
      </c>
      <c r="N7" s="19">
        <v>0</v>
      </c>
      <c r="O7" s="8">
        <f t="shared" ref="O7:O12" si="4">IF(N7&lt;&gt;0,N7*(D7/240)*175%,0)</f>
        <v>0</v>
      </c>
      <c r="P7" s="8">
        <f t="shared" ref="P7:P11" si="5">IF(C7="Operario",(200000/30)*G7,0)</f>
        <v>0</v>
      </c>
      <c r="Q7" s="8">
        <f t="shared" ref="Q7:Q12" si="6">IF(E7&lt;&gt;0,E7*1.5%,0)</f>
        <v>0</v>
      </c>
      <c r="R7" s="23">
        <f t="shared" ref="R7:R12" si="7">SUM(H7,I7,K7,M7,O7,P7:Q7)</f>
        <v>1242864.5833333333</v>
      </c>
      <c r="S7" s="8"/>
      <c r="T7" s="8">
        <f t="shared" ref="T7:T12" si="8">IF(D7&gt;=(566700*4),H7*5%,H7*4%)</f>
        <v>61250</v>
      </c>
      <c r="U7" s="8"/>
      <c r="V7" s="8">
        <f t="shared" ref="V7:V12" si="9">IF(C7="Dibujante",(170000/30)*G7,0)</f>
        <v>85000</v>
      </c>
      <c r="W7" s="8">
        <f t="shared" ref="W7:W12" si="10">H7*2.5%</f>
        <v>30625</v>
      </c>
      <c r="X7" s="4"/>
      <c r="Y7" s="5"/>
    </row>
    <row r="8" spans="1:25" ht="16.5">
      <c r="A8" s="3">
        <v>3</v>
      </c>
      <c r="B8" s="11" t="s">
        <v>43</v>
      </c>
      <c r="C8" s="12" t="s">
        <v>52</v>
      </c>
      <c r="D8" s="14">
        <v>566700</v>
      </c>
      <c r="E8" s="14">
        <v>0</v>
      </c>
      <c r="F8" s="15">
        <v>13</v>
      </c>
      <c r="G8" s="16">
        <v>15</v>
      </c>
      <c r="H8" s="13">
        <f t="shared" si="0"/>
        <v>283350</v>
      </c>
      <c r="I8" s="8">
        <f t="shared" si="1"/>
        <v>33900</v>
      </c>
      <c r="J8" s="19">
        <v>0</v>
      </c>
      <c r="K8" s="20">
        <f t="shared" si="2"/>
        <v>0</v>
      </c>
      <c r="L8" s="19">
        <v>12</v>
      </c>
      <c r="M8" s="22">
        <f t="shared" si="3"/>
        <v>4132.1875</v>
      </c>
      <c r="N8" s="19">
        <v>8</v>
      </c>
      <c r="O8" s="23">
        <f t="shared" si="4"/>
        <v>33057.5</v>
      </c>
      <c r="P8" s="8">
        <f t="shared" si="5"/>
        <v>100000</v>
      </c>
      <c r="Q8" s="8">
        <f t="shared" si="6"/>
        <v>0</v>
      </c>
      <c r="R8" s="23">
        <f t="shared" si="7"/>
        <v>454439.6875</v>
      </c>
      <c r="S8" s="8"/>
      <c r="T8" s="8">
        <f t="shared" si="8"/>
        <v>11334</v>
      </c>
      <c r="U8" s="8"/>
      <c r="V8" s="8">
        <f t="shared" si="9"/>
        <v>0</v>
      </c>
      <c r="W8" s="23">
        <f t="shared" si="10"/>
        <v>7083.75</v>
      </c>
      <c r="X8" s="4"/>
      <c r="Y8" s="5"/>
    </row>
    <row r="9" spans="1:25" ht="24">
      <c r="A9" s="3">
        <v>4</v>
      </c>
      <c r="B9" s="11" t="s">
        <v>44</v>
      </c>
      <c r="C9" s="12" t="s">
        <v>52</v>
      </c>
      <c r="D9" s="14">
        <v>566700</v>
      </c>
      <c r="E9" s="14">
        <v>0</v>
      </c>
      <c r="F9" s="15">
        <v>13</v>
      </c>
      <c r="G9" s="16">
        <v>15</v>
      </c>
      <c r="H9" s="13">
        <f t="shared" si="0"/>
        <v>283350</v>
      </c>
      <c r="I9" s="8">
        <f t="shared" si="1"/>
        <v>33900</v>
      </c>
      <c r="J9" s="19">
        <v>0</v>
      </c>
      <c r="K9" s="20">
        <f t="shared" si="2"/>
        <v>0</v>
      </c>
      <c r="L9" s="19">
        <v>12</v>
      </c>
      <c r="M9" s="22">
        <f t="shared" si="3"/>
        <v>4132.1875</v>
      </c>
      <c r="N9" s="19">
        <v>8</v>
      </c>
      <c r="O9" s="23">
        <f t="shared" si="4"/>
        <v>33057.5</v>
      </c>
      <c r="P9" s="8">
        <f t="shared" si="5"/>
        <v>100000</v>
      </c>
      <c r="Q9" s="8">
        <f t="shared" si="6"/>
        <v>0</v>
      </c>
      <c r="R9" s="23">
        <f t="shared" si="7"/>
        <v>454439.6875</v>
      </c>
      <c r="S9" s="8"/>
      <c r="T9" s="8">
        <f t="shared" si="8"/>
        <v>11334</v>
      </c>
      <c r="U9" s="8"/>
      <c r="V9" s="8">
        <f t="shared" si="9"/>
        <v>0</v>
      </c>
      <c r="W9" s="23">
        <f t="shared" si="10"/>
        <v>7083.75</v>
      </c>
      <c r="X9" s="4"/>
      <c r="Y9" s="5"/>
    </row>
    <row r="10" spans="1:25" ht="16.5">
      <c r="A10" s="3">
        <v>5</v>
      </c>
      <c r="B10" s="11" t="s">
        <v>45</v>
      </c>
      <c r="C10" s="12" t="s">
        <v>52</v>
      </c>
      <c r="D10" s="14">
        <v>566700</v>
      </c>
      <c r="E10" s="14">
        <v>0</v>
      </c>
      <c r="F10" s="15">
        <v>13</v>
      </c>
      <c r="G10" s="16">
        <v>15</v>
      </c>
      <c r="H10" s="13">
        <f t="shared" si="0"/>
        <v>283350</v>
      </c>
      <c r="I10" s="8">
        <f t="shared" si="1"/>
        <v>33900</v>
      </c>
      <c r="J10" s="19">
        <v>0</v>
      </c>
      <c r="K10" s="20">
        <f t="shared" si="2"/>
        <v>0</v>
      </c>
      <c r="L10" s="19">
        <v>12</v>
      </c>
      <c r="M10" s="22">
        <f t="shared" si="3"/>
        <v>4132.1875</v>
      </c>
      <c r="N10" s="19">
        <v>8</v>
      </c>
      <c r="O10" s="23">
        <f t="shared" si="4"/>
        <v>33057.5</v>
      </c>
      <c r="P10" s="8">
        <f t="shared" si="5"/>
        <v>100000</v>
      </c>
      <c r="Q10" s="8">
        <f t="shared" si="6"/>
        <v>0</v>
      </c>
      <c r="R10" s="23">
        <f t="shared" si="7"/>
        <v>454439.6875</v>
      </c>
      <c r="S10" s="8"/>
      <c r="T10" s="8">
        <f t="shared" si="8"/>
        <v>11334</v>
      </c>
      <c r="U10" s="8"/>
      <c r="V10" s="8">
        <f t="shared" si="9"/>
        <v>0</v>
      </c>
      <c r="W10" s="23">
        <f t="shared" si="10"/>
        <v>7083.75</v>
      </c>
      <c r="X10" s="4"/>
      <c r="Y10" s="5"/>
    </row>
    <row r="11" spans="1:25" ht="16.5">
      <c r="A11" s="3">
        <v>6</v>
      </c>
      <c r="B11" s="11" t="s">
        <v>46</v>
      </c>
      <c r="C11" s="12" t="s">
        <v>52</v>
      </c>
      <c r="D11" s="14">
        <v>566700</v>
      </c>
      <c r="E11" s="14">
        <v>0</v>
      </c>
      <c r="F11" s="15">
        <v>13</v>
      </c>
      <c r="G11" s="16">
        <v>15</v>
      </c>
      <c r="H11" s="13">
        <f t="shared" si="0"/>
        <v>283350</v>
      </c>
      <c r="I11" s="8">
        <f t="shared" si="1"/>
        <v>33900</v>
      </c>
      <c r="J11" s="19">
        <v>0</v>
      </c>
      <c r="K11" s="20">
        <f t="shared" si="2"/>
        <v>0</v>
      </c>
      <c r="L11" s="19">
        <v>12</v>
      </c>
      <c r="M11" s="22">
        <f t="shared" si="3"/>
        <v>4132.1875</v>
      </c>
      <c r="N11" s="19">
        <v>8</v>
      </c>
      <c r="O11" s="23">
        <f t="shared" si="4"/>
        <v>33057.5</v>
      </c>
      <c r="P11" s="8">
        <f t="shared" si="5"/>
        <v>100000</v>
      </c>
      <c r="Q11" s="8">
        <f t="shared" si="6"/>
        <v>0</v>
      </c>
      <c r="R11" s="23">
        <f t="shared" si="7"/>
        <v>454439.6875</v>
      </c>
      <c r="S11" s="8"/>
      <c r="T11" s="8">
        <f t="shared" si="8"/>
        <v>11334</v>
      </c>
      <c r="U11" s="8"/>
      <c r="V11" s="8">
        <f t="shared" si="9"/>
        <v>0</v>
      </c>
      <c r="W11" s="23">
        <f t="shared" si="10"/>
        <v>7083.75</v>
      </c>
      <c r="X11" s="4"/>
      <c r="Y11" s="5"/>
    </row>
    <row r="12" spans="1:25" ht="16.5">
      <c r="A12" s="3">
        <v>7</v>
      </c>
      <c r="B12" s="11" t="s">
        <v>47</v>
      </c>
      <c r="C12" s="12" t="s">
        <v>53</v>
      </c>
      <c r="D12" s="14">
        <v>566700</v>
      </c>
      <c r="E12" s="14">
        <v>9750000</v>
      </c>
      <c r="F12" s="15">
        <v>13</v>
      </c>
      <c r="G12" s="16">
        <v>15</v>
      </c>
      <c r="H12" s="13">
        <f t="shared" si="0"/>
        <v>283350</v>
      </c>
      <c r="I12" s="8">
        <f t="shared" si="1"/>
        <v>33900</v>
      </c>
      <c r="J12" s="19">
        <v>0</v>
      </c>
      <c r="K12" s="20">
        <f t="shared" si="2"/>
        <v>0</v>
      </c>
      <c r="L12" s="19">
        <v>0</v>
      </c>
      <c r="M12" s="21">
        <f t="shared" si="3"/>
        <v>0</v>
      </c>
      <c r="N12" s="19">
        <v>0</v>
      </c>
      <c r="O12" s="8">
        <f t="shared" si="4"/>
        <v>0</v>
      </c>
      <c r="P12" s="8">
        <f>IF(C12="Operario",(200000/30)*G12,0)</f>
        <v>0</v>
      </c>
      <c r="Q12" s="8">
        <f t="shared" si="6"/>
        <v>146250</v>
      </c>
      <c r="R12" s="23">
        <f t="shared" si="7"/>
        <v>463500</v>
      </c>
      <c r="S12" s="8"/>
      <c r="T12" s="8">
        <f t="shared" si="8"/>
        <v>11334</v>
      </c>
      <c r="U12" s="8"/>
      <c r="V12" s="8">
        <f t="shared" si="9"/>
        <v>0</v>
      </c>
      <c r="W12" s="23">
        <f t="shared" si="10"/>
        <v>7083.75</v>
      </c>
      <c r="X12" s="4"/>
      <c r="Y12" s="5"/>
    </row>
    <row r="13" spans="1:25" ht="16.5">
      <c r="A13" s="6"/>
      <c r="B13" s="35" t="s">
        <v>33</v>
      </c>
      <c r="C13" s="35"/>
      <c r="D13" s="4">
        <f>SUM(D6:D12)</f>
        <v>8863500</v>
      </c>
      <c r="E13" s="36">
        <f>SUM(E6:E12)</f>
        <v>9750000</v>
      </c>
      <c r="F13" s="4">
        <f>SUM(F6:F12)</f>
        <v>91</v>
      </c>
      <c r="G13" s="4">
        <f t="shared" ref="G13:T13" si="11">SUM(G6:G12)</f>
        <v>105</v>
      </c>
      <c r="H13" s="4">
        <f>SUM(H6:H12)</f>
        <v>4431750</v>
      </c>
      <c r="I13" s="34">
        <f>SUM(I6:I12)</f>
        <v>169500</v>
      </c>
      <c r="J13" s="34">
        <f t="shared" si="11"/>
        <v>0</v>
      </c>
      <c r="K13" s="34">
        <f>SUM(K6:K12)</f>
        <v>0</v>
      </c>
      <c r="L13" s="34">
        <f t="shared" si="11"/>
        <v>53</v>
      </c>
      <c r="M13" s="34">
        <f>SUM(M6:M12)</f>
        <v>34393.333333333336</v>
      </c>
      <c r="N13" s="34">
        <f t="shared" si="11"/>
        <v>32</v>
      </c>
      <c r="O13" s="34">
        <f t="shared" si="11"/>
        <v>132230</v>
      </c>
      <c r="P13" s="34">
        <f t="shared" si="11"/>
        <v>400000</v>
      </c>
      <c r="Q13" s="34">
        <f t="shared" si="11"/>
        <v>146250</v>
      </c>
      <c r="R13" s="34">
        <f t="shared" si="11"/>
        <v>5314123.333333333</v>
      </c>
      <c r="S13" s="34">
        <f t="shared" si="11"/>
        <v>0</v>
      </c>
      <c r="T13" s="34">
        <f t="shared" si="11"/>
        <v>207420</v>
      </c>
      <c r="U13" s="34">
        <f>SUM(U6:U12)</f>
        <v>0</v>
      </c>
      <c r="V13" s="34">
        <f t="shared" ref="V13" si="12">SUM(V6:V12)</f>
        <v>85000</v>
      </c>
      <c r="W13" s="34">
        <f t="shared" ref="W13" si="13">SUM(W6:W12)</f>
        <v>110793.75</v>
      </c>
      <c r="X13" s="4"/>
      <c r="Y13" s="5"/>
    </row>
    <row r="14" spans="1:25" ht="16.5" customHeight="1">
      <c r="A14" s="113"/>
      <c r="B14" s="114"/>
      <c r="C14" s="115"/>
      <c r="D14" s="136" t="s">
        <v>14</v>
      </c>
      <c r="E14" s="136"/>
      <c r="F14" s="136"/>
      <c r="G14" s="136"/>
      <c r="H14" s="136"/>
      <c r="I14" s="136"/>
      <c r="J14" s="136"/>
      <c r="K14" s="136" t="s">
        <v>15</v>
      </c>
      <c r="L14" s="136"/>
      <c r="M14" s="136"/>
      <c r="N14" s="136"/>
      <c r="O14" s="136"/>
      <c r="P14" s="136"/>
      <c r="Q14" s="136"/>
      <c r="R14" s="136"/>
      <c r="S14" s="136" t="s">
        <v>16</v>
      </c>
      <c r="T14" s="136"/>
      <c r="U14" s="136"/>
      <c r="V14" s="136"/>
      <c r="W14" s="136" t="s">
        <v>17</v>
      </c>
      <c r="X14" s="136"/>
      <c r="Y14" s="136"/>
    </row>
    <row r="15" spans="1:25" ht="14.25" customHeight="1">
      <c r="A15" s="116"/>
      <c r="B15" s="117"/>
      <c r="C15" s="118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</row>
    <row r="16" spans="1:25" ht="14.25" customHeight="1">
      <c r="A16" s="119"/>
      <c r="B16" s="120"/>
      <c r="C16" s="121"/>
      <c r="D16" s="131" t="s">
        <v>8</v>
      </c>
      <c r="E16" s="131"/>
      <c r="F16" s="131"/>
      <c r="G16" s="131"/>
      <c r="H16" s="134">
        <f>SUM(H6:H12)</f>
        <v>4431750</v>
      </c>
      <c r="I16" s="134"/>
      <c r="J16" s="134"/>
      <c r="K16" s="131" t="s">
        <v>18</v>
      </c>
      <c r="L16" s="131"/>
      <c r="M16" s="131"/>
      <c r="N16" s="7"/>
      <c r="O16" s="133"/>
      <c r="P16" s="133"/>
      <c r="Q16" s="133"/>
      <c r="R16" s="133"/>
      <c r="S16" s="131" t="s">
        <v>19</v>
      </c>
      <c r="T16" s="139"/>
      <c r="U16" s="139"/>
      <c r="V16" s="139"/>
      <c r="W16" s="133" t="s">
        <v>20</v>
      </c>
      <c r="X16" s="133"/>
      <c r="Y16" s="133"/>
    </row>
    <row r="17" spans="1:25" ht="13.5" customHeight="1">
      <c r="A17" s="119"/>
      <c r="B17" s="120"/>
      <c r="C17" s="121"/>
      <c r="D17" s="131"/>
      <c r="E17" s="131"/>
      <c r="F17" s="131"/>
      <c r="G17" s="131"/>
      <c r="H17" s="134"/>
      <c r="I17" s="134"/>
      <c r="J17" s="134"/>
      <c r="K17" s="131"/>
      <c r="L17" s="131"/>
      <c r="M17" s="131"/>
      <c r="N17" s="7"/>
      <c r="O17" s="133"/>
      <c r="P17" s="133"/>
      <c r="Q17" s="133"/>
      <c r="R17" s="133"/>
      <c r="S17" s="131"/>
      <c r="T17" s="139"/>
      <c r="U17" s="139"/>
      <c r="V17" s="139"/>
      <c r="W17" s="133"/>
      <c r="X17" s="133"/>
      <c r="Y17" s="133"/>
    </row>
    <row r="18" spans="1:25" ht="12.75" customHeight="1">
      <c r="A18" s="119"/>
      <c r="B18" s="120"/>
      <c r="C18" s="121"/>
      <c r="D18" s="131" t="s">
        <v>9</v>
      </c>
      <c r="E18" s="131"/>
      <c r="F18" s="131"/>
      <c r="G18" s="131"/>
      <c r="H18" s="134">
        <f>SUM(I6:I12)</f>
        <v>169500</v>
      </c>
      <c r="I18" s="134"/>
      <c r="J18" s="134"/>
      <c r="K18" s="131" t="s">
        <v>12</v>
      </c>
      <c r="L18" s="131"/>
      <c r="M18" s="131"/>
      <c r="N18" s="7"/>
      <c r="O18" s="133"/>
      <c r="P18" s="133"/>
      <c r="Q18" s="133"/>
      <c r="R18" s="133"/>
      <c r="S18" s="131" t="s">
        <v>21</v>
      </c>
      <c r="T18" s="139"/>
      <c r="U18" s="139"/>
      <c r="V18" s="139"/>
      <c r="W18" s="133" t="s">
        <v>22</v>
      </c>
      <c r="X18" s="133"/>
      <c r="Y18" s="133"/>
    </row>
    <row r="19" spans="1:25" ht="12.75" customHeight="1">
      <c r="A19" s="119"/>
      <c r="B19" s="120"/>
      <c r="C19" s="121"/>
      <c r="D19" s="131"/>
      <c r="E19" s="131"/>
      <c r="F19" s="131"/>
      <c r="G19" s="131"/>
      <c r="H19" s="134"/>
      <c r="I19" s="134"/>
      <c r="J19" s="134"/>
      <c r="K19" s="131"/>
      <c r="L19" s="131"/>
      <c r="M19" s="131"/>
      <c r="N19" s="7"/>
      <c r="O19" s="133"/>
      <c r="P19" s="133"/>
      <c r="Q19" s="133"/>
      <c r="R19" s="133"/>
      <c r="S19" s="131"/>
      <c r="T19" s="139"/>
      <c r="U19" s="139"/>
      <c r="V19" s="139"/>
      <c r="W19" s="133"/>
      <c r="X19" s="133"/>
      <c r="Y19" s="133"/>
    </row>
    <row r="20" spans="1:25" ht="12.75" customHeight="1">
      <c r="A20" s="119"/>
      <c r="B20" s="120"/>
      <c r="C20" s="121"/>
      <c r="D20" s="131" t="s">
        <v>10</v>
      </c>
      <c r="E20" s="131"/>
      <c r="F20" s="131"/>
      <c r="G20" s="131"/>
      <c r="H20" s="134">
        <f>SUM(K6:K12)</f>
        <v>0</v>
      </c>
      <c r="I20" s="134"/>
      <c r="J20" s="134"/>
      <c r="K20" s="131" t="s">
        <v>23</v>
      </c>
      <c r="L20" s="131"/>
      <c r="M20" s="131"/>
      <c r="N20" s="7"/>
      <c r="O20" s="133"/>
      <c r="P20" s="133"/>
      <c r="Q20" s="133"/>
      <c r="R20" s="133"/>
      <c r="S20" s="131" t="s">
        <v>24</v>
      </c>
      <c r="T20" s="132"/>
      <c r="U20" s="132"/>
      <c r="V20" s="132"/>
      <c r="W20" s="137" t="s">
        <v>25</v>
      </c>
      <c r="X20" s="137"/>
      <c r="Y20" s="134"/>
    </row>
    <row r="21" spans="1:25" ht="24.75" customHeight="1">
      <c r="A21" s="119"/>
      <c r="B21" s="120"/>
      <c r="C21" s="121"/>
      <c r="D21" s="131"/>
      <c r="E21" s="131"/>
      <c r="F21" s="131"/>
      <c r="G21" s="131"/>
      <c r="H21" s="134"/>
      <c r="I21" s="134"/>
      <c r="J21" s="134"/>
      <c r="K21" s="131"/>
      <c r="L21" s="131"/>
      <c r="M21" s="131"/>
      <c r="N21" s="7"/>
      <c r="O21" s="133"/>
      <c r="P21" s="133"/>
      <c r="Q21" s="133"/>
      <c r="R21" s="133"/>
      <c r="S21" s="131"/>
      <c r="T21" s="132"/>
      <c r="U21" s="132"/>
      <c r="V21" s="132"/>
      <c r="W21" s="137"/>
      <c r="X21" s="137"/>
      <c r="Y21" s="134"/>
    </row>
    <row r="22" spans="1:25" ht="12.75" customHeight="1">
      <c r="A22" s="119"/>
      <c r="B22" s="120"/>
      <c r="C22" s="121"/>
      <c r="D22" s="112" t="s">
        <v>11</v>
      </c>
      <c r="E22" s="112"/>
      <c r="F22" s="112"/>
      <c r="G22" s="112"/>
      <c r="H22" s="161">
        <f>SUM(M6:M12)</f>
        <v>34393.333333333336</v>
      </c>
      <c r="I22" s="161"/>
      <c r="J22" s="161"/>
      <c r="K22" s="131" t="s">
        <v>26</v>
      </c>
      <c r="L22" s="131"/>
      <c r="M22" s="131"/>
      <c r="N22" s="7"/>
      <c r="O22" s="134"/>
      <c r="P22" s="134"/>
      <c r="Q22" s="134"/>
      <c r="R22" s="134"/>
      <c r="S22" s="131" t="s">
        <v>12</v>
      </c>
      <c r="T22" s="132"/>
      <c r="U22" s="132"/>
      <c r="V22" s="132"/>
      <c r="W22" s="137"/>
      <c r="X22" s="137"/>
      <c r="Y22" s="134"/>
    </row>
    <row r="23" spans="1:25" ht="12.75" customHeight="1">
      <c r="A23" s="119"/>
      <c r="B23" s="120"/>
      <c r="C23" s="121"/>
      <c r="D23" s="112"/>
      <c r="E23" s="112"/>
      <c r="F23" s="112"/>
      <c r="G23" s="112"/>
      <c r="H23" s="161"/>
      <c r="I23" s="161"/>
      <c r="J23" s="161"/>
      <c r="K23" s="131"/>
      <c r="L23" s="131"/>
      <c r="M23" s="131"/>
      <c r="N23" s="7"/>
      <c r="O23" s="134"/>
      <c r="P23" s="134"/>
      <c r="Q23" s="134"/>
      <c r="R23" s="134"/>
      <c r="S23" s="131"/>
      <c r="T23" s="132"/>
      <c r="U23" s="132"/>
      <c r="V23" s="132"/>
      <c r="W23" s="133" t="s">
        <v>27</v>
      </c>
      <c r="X23" s="133"/>
      <c r="Y23" s="133"/>
    </row>
    <row r="24" spans="1:25" ht="13.5" customHeight="1">
      <c r="A24" s="119"/>
      <c r="B24" s="120"/>
      <c r="C24" s="121"/>
      <c r="D24" s="112"/>
      <c r="E24" s="112"/>
      <c r="F24" s="112"/>
      <c r="G24" s="112"/>
      <c r="H24" s="161"/>
      <c r="I24" s="161"/>
      <c r="J24" s="161"/>
      <c r="K24" s="131" t="s">
        <v>28</v>
      </c>
      <c r="L24" s="131"/>
      <c r="M24" s="131"/>
      <c r="N24" s="7"/>
      <c r="O24" s="134"/>
      <c r="P24" s="134"/>
      <c r="Q24" s="134"/>
      <c r="R24" s="134"/>
      <c r="S24" s="131" t="s">
        <v>23</v>
      </c>
      <c r="T24" s="132"/>
      <c r="U24" s="132"/>
      <c r="V24" s="132"/>
      <c r="W24" s="133"/>
      <c r="X24" s="133"/>
      <c r="Y24" s="133"/>
    </row>
    <row r="25" spans="1:25" ht="14.25" customHeight="1">
      <c r="A25" s="119"/>
      <c r="B25" s="120"/>
      <c r="C25" s="121"/>
      <c r="D25" s="131" t="s">
        <v>29</v>
      </c>
      <c r="E25" s="131"/>
      <c r="F25" s="131"/>
      <c r="G25" s="131"/>
      <c r="H25" s="162">
        <f>SUM(H16:J24)</f>
        <v>4635643.333333333</v>
      </c>
      <c r="I25" s="162"/>
      <c r="J25" s="162"/>
      <c r="K25" s="131"/>
      <c r="L25" s="131"/>
      <c r="M25" s="131"/>
      <c r="N25" s="7"/>
      <c r="O25" s="134"/>
      <c r="P25" s="134"/>
      <c r="Q25" s="134"/>
      <c r="R25" s="134"/>
      <c r="S25" s="131"/>
      <c r="T25" s="132"/>
      <c r="U25" s="132"/>
      <c r="V25" s="132"/>
      <c r="W25" s="133" t="s">
        <v>29</v>
      </c>
      <c r="X25" s="133"/>
      <c r="Y25" s="133"/>
    </row>
    <row r="26" spans="1:25" ht="16.5" customHeight="1">
      <c r="A26" s="122"/>
      <c r="B26" s="123"/>
      <c r="C26" s="124"/>
      <c r="D26" s="131"/>
      <c r="E26" s="131"/>
      <c r="F26" s="131"/>
      <c r="G26" s="131"/>
      <c r="H26" s="162"/>
      <c r="I26" s="162"/>
      <c r="J26" s="162"/>
      <c r="K26" s="112" t="s">
        <v>29</v>
      </c>
      <c r="L26" s="112"/>
      <c r="M26" s="112"/>
      <c r="N26" s="9"/>
      <c r="O26" s="134"/>
      <c r="P26" s="134"/>
      <c r="Q26" s="134"/>
      <c r="R26" s="134"/>
      <c r="S26" s="131" t="s">
        <v>29</v>
      </c>
      <c r="T26" s="132"/>
      <c r="U26" s="132"/>
      <c r="V26" s="132"/>
      <c r="W26" s="133"/>
      <c r="X26" s="133"/>
      <c r="Y26" s="133"/>
    </row>
    <row r="27" spans="1:25" ht="16.5">
      <c r="A27" s="9" t="s">
        <v>30</v>
      </c>
      <c r="B27" s="9"/>
      <c r="C27" s="9"/>
      <c r="D27" s="9" t="s">
        <v>31</v>
      </c>
      <c r="E27" s="9"/>
      <c r="F27" s="9"/>
      <c r="G27" s="138"/>
      <c r="H27" s="138"/>
      <c r="I27" s="138"/>
      <c r="J27" s="138"/>
      <c r="K27" s="112"/>
      <c r="L27" s="112"/>
      <c r="M27" s="112"/>
      <c r="N27" s="9"/>
      <c r="O27" s="134"/>
      <c r="P27" s="134"/>
      <c r="Q27" s="134"/>
      <c r="R27" s="134"/>
      <c r="S27" s="131"/>
      <c r="T27" s="132"/>
      <c r="U27" s="132"/>
      <c r="V27" s="132"/>
      <c r="W27" s="135" t="s">
        <v>32</v>
      </c>
      <c r="X27" s="135"/>
      <c r="Y27" s="135"/>
    </row>
    <row r="30" spans="1:25" ht="18">
      <c r="C30" s="26" t="s">
        <v>60</v>
      </c>
      <c r="D30" s="27"/>
      <c r="E30" s="27"/>
      <c r="F30" s="27"/>
      <c r="G30" s="27"/>
      <c r="H30" s="27"/>
      <c r="I30" s="27"/>
      <c r="J30" s="27"/>
      <c r="K30" s="28"/>
    </row>
    <row r="31" spans="1:25" ht="18">
      <c r="C31" s="29" t="s">
        <v>61</v>
      </c>
      <c r="D31" s="30"/>
      <c r="E31" s="30"/>
      <c r="F31" s="30"/>
      <c r="G31" s="30"/>
      <c r="H31" s="30"/>
      <c r="I31" s="30"/>
      <c r="J31" s="30"/>
      <c r="K31" s="31"/>
    </row>
    <row r="32" spans="1:25" ht="18">
      <c r="C32" s="29" t="s">
        <v>62</v>
      </c>
      <c r="D32" s="30"/>
      <c r="E32" s="30"/>
      <c r="F32" s="30"/>
      <c r="G32" s="30"/>
      <c r="H32" s="30"/>
      <c r="I32" s="30"/>
      <c r="J32" s="30"/>
      <c r="K32" s="31"/>
    </row>
    <row r="33" spans="3:11" ht="18">
      <c r="C33" s="29" t="s">
        <v>63</v>
      </c>
      <c r="D33" s="30"/>
      <c r="E33" s="30"/>
      <c r="F33" s="30"/>
      <c r="G33" s="30"/>
      <c r="H33" s="30"/>
      <c r="I33" s="30"/>
      <c r="J33" s="30"/>
      <c r="K33" s="31"/>
    </row>
    <row r="34" spans="3:11" ht="18">
      <c r="C34" s="29" t="s">
        <v>64</v>
      </c>
      <c r="D34" s="30"/>
      <c r="E34" s="30"/>
      <c r="F34" s="30"/>
      <c r="G34" s="30"/>
      <c r="H34" s="30"/>
      <c r="I34" s="30"/>
      <c r="J34" s="30"/>
      <c r="K34" s="31"/>
    </row>
    <row r="35" spans="3:11" ht="18">
      <c r="C35" s="153" t="s">
        <v>65</v>
      </c>
      <c r="D35" s="154"/>
      <c r="E35" s="154"/>
      <c r="F35" s="154"/>
      <c r="G35" s="154"/>
      <c r="H35" s="154"/>
      <c r="I35" s="154"/>
      <c r="J35" s="30"/>
      <c r="K35" s="31"/>
    </row>
    <row r="36" spans="3:11" ht="18">
      <c r="C36" s="29"/>
      <c r="D36" s="30" t="s">
        <v>66</v>
      </c>
      <c r="E36" s="30"/>
      <c r="F36" s="30"/>
      <c r="G36" s="30"/>
      <c r="H36" s="30"/>
      <c r="I36" s="30"/>
      <c r="J36" s="30"/>
      <c r="K36" s="31"/>
    </row>
    <row r="37" spans="3:11" ht="18">
      <c r="C37" s="32" t="s">
        <v>67</v>
      </c>
      <c r="D37" s="30"/>
      <c r="E37" s="30"/>
      <c r="F37" s="30"/>
      <c r="G37" s="30"/>
      <c r="H37" s="30"/>
      <c r="I37" s="30"/>
      <c r="J37" s="30"/>
      <c r="K37" s="31"/>
    </row>
    <row r="38" spans="3:11" ht="18">
      <c r="C38" s="155" t="s">
        <v>68</v>
      </c>
      <c r="D38" s="156"/>
      <c r="E38" s="156"/>
      <c r="F38" s="156"/>
      <c r="G38" s="156"/>
      <c r="H38" s="156"/>
      <c r="I38" s="156"/>
      <c r="J38" s="156"/>
      <c r="K38" s="157"/>
    </row>
  </sheetData>
  <mergeCells count="69">
    <mergeCell ref="C35:I35"/>
    <mergeCell ref="C38:K38"/>
    <mergeCell ref="A4:A5"/>
    <mergeCell ref="B4:B5"/>
    <mergeCell ref="D4:D5"/>
    <mergeCell ref="G4:G5"/>
    <mergeCell ref="H4:O4"/>
    <mergeCell ref="H22:J24"/>
    <mergeCell ref="D20:G21"/>
    <mergeCell ref="K20:M21"/>
    <mergeCell ref="O20:R21"/>
    <mergeCell ref="H20:J21"/>
    <mergeCell ref="H25:J26"/>
    <mergeCell ref="O22:R23"/>
    <mergeCell ref="K24:M25"/>
    <mergeCell ref="O24:R25"/>
    <mergeCell ref="S14:V15"/>
    <mergeCell ref="W14:Y15"/>
    <mergeCell ref="D14:J15"/>
    <mergeCell ref="Y4:Y5"/>
    <mergeCell ref="O1:Y3"/>
    <mergeCell ref="P4:X4"/>
    <mergeCell ref="D18:G19"/>
    <mergeCell ref="K18:M19"/>
    <mergeCell ref="O18:R19"/>
    <mergeCell ref="H18:J19"/>
    <mergeCell ref="T16:V17"/>
    <mergeCell ref="D16:G17"/>
    <mergeCell ref="K16:M17"/>
    <mergeCell ref="O16:R17"/>
    <mergeCell ref="H16:J17"/>
    <mergeCell ref="S18:S19"/>
    <mergeCell ref="T18:V19"/>
    <mergeCell ref="W18:X19"/>
    <mergeCell ref="S16:S17"/>
    <mergeCell ref="Y18:Y19"/>
    <mergeCell ref="W16:X17"/>
    <mergeCell ref="Y16:Y17"/>
    <mergeCell ref="S26:S27"/>
    <mergeCell ref="T26:V27"/>
    <mergeCell ref="W25:X26"/>
    <mergeCell ref="Y25:Y26"/>
    <mergeCell ref="S20:S21"/>
    <mergeCell ref="T20:V21"/>
    <mergeCell ref="Y20:Y22"/>
    <mergeCell ref="W27:Y27"/>
    <mergeCell ref="Y23:Y24"/>
    <mergeCell ref="W20:X22"/>
    <mergeCell ref="W23:X24"/>
    <mergeCell ref="S24:S25"/>
    <mergeCell ref="T24:V25"/>
    <mergeCell ref="S22:S23"/>
    <mergeCell ref="T22:V23"/>
    <mergeCell ref="C4:C5"/>
    <mergeCell ref="E4:E5"/>
    <mergeCell ref="F4:F5"/>
    <mergeCell ref="A1:F3"/>
    <mergeCell ref="D22:G24"/>
    <mergeCell ref="A14:C14"/>
    <mergeCell ref="A15:C26"/>
    <mergeCell ref="G1:N1"/>
    <mergeCell ref="G2:N2"/>
    <mergeCell ref="G3:N3"/>
    <mergeCell ref="K22:M23"/>
    <mergeCell ref="K14:R15"/>
    <mergeCell ref="D25:G26"/>
    <mergeCell ref="K26:M27"/>
    <mergeCell ref="O26:R27"/>
    <mergeCell ref="G27:J27"/>
  </mergeCells>
  <phoneticPr fontId="0" type="noConversion"/>
  <pageMargins left="0.78749999999999998" right="0.78749999999999998" top="0.78749999999999998" bottom="0.78749999999999998" header="0" footer="0"/>
  <pageSetup paperSize="5" firstPageNumber="0" fitToHeight="0" orientation="landscape" horizontalDpi="300" verticalDpi="300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1FA50"/>
  </sheetPr>
  <dimension ref="A1:X44"/>
  <sheetViews>
    <sheetView zoomScaleNormal="100" workbookViewId="0">
      <selection activeCell="A14" sqref="A14:C25"/>
    </sheetView>
  </sheetViews>
  <sheetFormatPr baseColWidth="10" defaultRowHeight="12.75"/>
  <cols>
    <col min="1" max="1" width="8.7109375" customWidth="1"/>
    <col min="2" max="2" width="26.7109375" customWidth="1"/>
    <col min="6" max="6" width="14.7109375" customWidth="1"/>
    <col min="8" max="8" width="14.5703125" customWidth="1"/>
    <col min="9" max="9" width="15" customWidth="1"/>
    <col min="15" max="15" width="14.5703125" customWidth="1"/>
    <col min="17" max="17" width="16.7109375" customWidth="1"/>
    <col min="20" max="20" width="13.7109375" customWidth="1"/>
    <col min="22" max="22" width="15.5703125" customWidth="1"/>
    <col min="23" max="23" width="15" customWidth="1"/>
  </cols>
  <sheetData>
    <row r="1" spans="1:24" ht="30.75" customHeight="1">
      <c r="A1" s="176" t="s">
        <v>69</v>
      </c>
      <c r="B1" s="177"/>
      <c r="C1" s="177"/>
      <c r="D1" s="177"/>
      <c r="E1" s="177"/>
      <c r="F1" s="178"/>
      <c r="G1" s="176" t="s">
        <v>0</v>
      </c>
      <c r="H1" s="177"/>
      <c r="I1" s="177"/>
      <c r="J1" s="177"/>
      <c r="K1" s="177"/>
      <c r="L1" s="177"/>
      <c r="M1" s="177"/>
      <c r="N1" s="178"/>
      <c r="O1" s="185" t="s">
        <v>1</v>
      </c>
      <c r="P1" s="186"/>
      <c r="Q1" s="187"/>
      <c r="R1" s="187"/>
      <c r="S1" s="187"/>
      <c r="T1" s="187"/>
      <c r="U1" s="187"/>
      <c r="V1" s="187"/>
      <c r="W1" s="187"/>
      <c r="X1" s="188"/>
    </row>
    <row r="2" spans="1:24" ht="28.5" customHeight="1">
      <c r="A2" s="179"/>
      <c r="B2" s="180"/>
      <c r="C2" s="180"/>
      <c r="D2" s="180"/>
      <c r="E2" s="180"/>
      <c r="F2" s="181"/>
      <c r="G2" s="125" t="s">
        <v>78</v>
      </c>
      <c r="H2" s="126"/>
      <c r="I2" s="126"/>
      <c r="J2" s="126"/>
      <c r="K2" s="126"/>
      <c r="L2" s="126"/>
      <c r="M2" s="126"/>
      <c r="N2" s="127"/>
      <c r="O2" s="189"/>
      <c r="P2" s="190"/>
      <c r="Q2" s="190"/>
      <c r="R2" s="190"/>
      <c r="S2" s="190"/>
      <c r="T2" s="190"/>
      <c r="U2" s="190"/>
      <c r="V2" s="190"/>
      <c r="W2" s="190"/>
      <c r="X2" s="191"/>
    </row>
    <row r="3" spans="1:24" ht="27.75" customHeight="1">
      <c r="A3" s="182"/>
      <c r="B3" s="183"/>
      <c r="C3" s="183"/>
      <c r="D3" s="183"/>
      <c r="E3" s="183"/>
      <c r="F3" s="184"/>
      <c r="G3" s="128" t="s">
        <v>79</v>
      </c>
      <c r="H3" s="129"/>
      <c r="I3" s="129"/>
      <c r="J3" s="129"/>
      <c r="K3" s="129"/>
      <c r="L3" s="129"/>
      <c r="M3" s="129"/>
      <c r="N3" s="130"/>
      <c r="O3" s="192"/>
      <c r="P3" s="193"/>
      <c r="Q3" s="193"/>
      <c r="R3" s="193"/>
      <c r="S3" s="193"/>
      <c r="T3" s="193"/>
      <c r="U3" s="193"/>
      <c r="V3" s="193"/>
      <c r="W3" s="193"/>
      <c r="X3" s="194"/>
    </row>
    <row r="4" spans="1:24" ht="15">
      <c r="A4" s="158" t="s">
        <v>2</v>
      </c>
      <c r="B4" s="101" t="s">
        <v>3</v>
      </c>
      <c r="C4" s="101" t="s">
        <v>49</v>
      </c>
      <c r="D4" s="101" t="s">
        <v>4</v>
      </c>
      <c r="E4" s="101" t="s">
        <v>54</v>
      </c>
      <c r="F4" s="101" t="s">
        <v>55</v>
      </c>
      <c r="G4" s="101" t="s">
        <v>56</v>
      </c>
      <c r="H4" s="160" t="s">
        <v>5</v>
      </c>
      <c r="I4" s="160"/>
      <c r="J4" s="160"/>
      <c r="K4" s="160"/>
      <c r="L4" s="160"/>
      <c r="M4" s="160"/>
      <c r="N4" s="160"/>
      <c r="O4" s="160"/>
      <c r="P4" s="150" t="s">
        <v>6</v>
      </c>
      <c r="Q4" s="151"/>
      <c r="R4" s="151"/>
      <c r="S4" s="151"/>
      <c r="T4" s="151"/>
      <c r="U4" s="151"/>
      <c r="V4" s="151"/>
      <c r="W4" s="152"/>
      <c r="X4" s="101" t="s">
        <v>7</v>
      </c>
    </row>
    <row r="5" spans="1:24" ht="30" customHeight="1">
      <c r="A5" s="159"/>
      <c r="B5" s="175"/>
      <c r="C5" s="102"/>
      <c r="D5" s="102"/>
      <c r="E5" s="102"/>
      <c r="F5" s="102"/>
      <c r="G5" s="102"/>
      <c r="H5" s="10" t="s">
        <v>8</v>
      </c>
      <c r="I5" s="10" t="s">
        <v>9</v>
      </c>
      <c r="J5" s="10" t="s">
        <v>36</v>
      </c>
      <c r="K5" s="10" t="s">
        <v>10</v>
      </c>
      <c r="L5" s="10" t="s">
        <v>37</v>
      </c>
      <c r="M5" s="10" t="s">
        <v>11</v>
      </c>
      <c r="N5" s="10" t="s">
        <v>37</v>
      </c>
      <c r="O5" s="10" t="s">
        <v>34</v>
      </c>
      <c r="P5" s="10" t="s">
        <v>58</v>
      </c>
      <c r="Q5" s="10" t="s">
        <v>35</v>
      </c>
      <c r="R5" s="10" t="s">
        <v>12</v>
      </c>
      <c r="S5" s="10" t="s">
        <v>40</v>
      </c>
      <c r="T5" s="10" t="s">
        <v>18</v>
      </c>
      <c r="U5" s="10" t="s">
        <v>88</v>
      </c>
      <c r="V5" s="10" t="s">
        <v>41</v>
      </c>
      <c r="W5" s="10" t="s">
        <v>13</v>
      </c>
      <c r="X5" s="102"/>
    </row>
    <row r="6" spans="1:24" ht="16.5">
      <c r="A6" s="3">
        <v>1</v>
      </c>
      <c r="B6" s="17" t="s">
        <v>80</v>
      </c>
      <c r="C6" s="51" t="s">
        <v>86</v>
      </c>
      <c r="D6" s="52">
        <v>6500000</v>
      </c>
      <c r="E6" s="53">
        <v>0</v>
      </c>
      <c r="F6" s="54">
        <v>13</v>
      </c>
      <c r="G6" s="55">
        <v>15</v>
      </c>
      <c r="H6" s="13">
        <f>IF(G6=30,D6,(D6/30)*G6)</f>
        <v>3250000</v>
      </c>
      <c r="I6" s="18">
        <f>IF(D6&lt;=1133400,(67800/30)*G6,0)</f>
        <v>0</v>
      </c>
      <c r="J6" s="56">
        <v>0</v>
      </c>
      <c r="K6" s="20">
        <f>IF(J6&lt;&gt;0,(D6/240)*125%,0)</f>
        <v>0</v>
      </c>
      <c r="L6" s="56">
        <v>0</v>
      </c>
      <c r="M6" s="21">
        <f>IF(L6&lt;&gt;0,(D6/240)*175%,0)</f>
        <v>0</v>
      </c>
      <c r="N6" s="56">
        <v>0</v>
      </c>
      <c r="O6" s="18">
        <f>IF(N6&lt;&gt;0,N6*(D6/240)*175%,0)</f>
        <v>0</v>
      </c>
      <c r="P6" s="18">
        <f>IF(E6&lt;&gt;0,E6*1.7%,0)</f>
        <v>0</v>
      </c>
      <c r="Q6" s="18">
        <f t="shared" ref="Q6:Q11" si="0">SUM(H6,I6,K6,M6,O6,P6:P6)</f>
        <v>3250000</v>
      </c>
      <c r="R6" s="18"/>
      <c r="S6" s="18">
        <f t="shared" ref="S6:S11" si="1">IF(D6&gt;=(566700*4),H6*5%,H6*4%)</f>
        <v>162500</v>
      </c>
      <c r="T6" s="18"/>
      <c r="U6" s="18">
        <f>IF(C6="Jefe Financiero",180000/30*15,0)</f>
        <v>0</v>
      </c>
      <c r="V6" s="18">
        <f>H6*3%</f>
        <v>97500</v>
      </c>
      <c r="W6" s="4"/>
      <c r="X6" s="5"/>
    </row>
    <row r="7" spans="1:24" ht="33">
      <c r="A7" s="3">
        <v>2</v>
      </c>
      <c r="B7" s="37" t="s">
        <v>81</v>
      </c>
      <c r="C7" s="51" t="s">
        <v>87</v>
      </c>
      <c r="D7" s="52">
        <v>2850000</v>
      </c>
      <c r="E7" s="53">
        <v>0</v>
      </c>
      <c r="F7" s="54">
        <v>13</v>
      </c>
      <c r="G7" s="55">
        <v>15</v>
      </c>
      <c r="H7" s="13">
        <f t="shared" ref="H7:H11" si="2">IF(G7=30,D7,(D7/30)*G7)</f>
        <v>1425000</v>
      </c>
      <c r="I7" s="18">
        <f t="shared" ref="I7:I11" si="3">IF(D7&lt;=1133400,(67800/30)*G7,0)</f>
        <v>0</v>
      </c>
      <c r="J7" s="56">
        <v>0</v>
      </c>
      <c r="K7" s="20">
        <f t="shared" ref="K7:K11" si="4">IF(J7&lt;&gt;0,(D7/240)*125%,0)</f>
        <v>0</v>
      </c>
      <c r="L7" s="56">
        <v>0</v>
      </c>
      <c r="M7" s="22">
        <f t="shared" ref="M7:M11" si="5">IF(L7&lt;&gt;0,(D7/240)*175%,0)</f>
        <v>0</v>
      </c>
      <c r="N7" s="56">
        <v>0</v>
      </c>
      <c r="O7" s="18">
        <f t="shared" ref="O7:O11" si="6">IF(N7&lt;&gt;0,N7*(D7/240)*175%,0)</f>
        <v>0</v>
      </c>
      <c r="P7" s="18">
        <f t="shared" ref="P7:P11" si="7">IF(E7&lt;&gt;0,E7*1.7%,0)</f>
        <v>0</v>
      </c>
      <c r="Q7" s="23">
        <f t="shared" si="0"/>
        <v>1425000</v>
      </c>
      <c r="R7" s="18"/>
      <c r="S7" s="18">
        <f t="shared" si="1"/>
        <v>71250</v>
      </c>
      <c r="T7" s="18"/>
      <c r="U7" s="18">
        <f t="shared" ref="U7:U11" si="8">IF(C7="Jefe Financiero",180000/30*15,0)</f>
        <v>90000</v>
      </c>
      <c r="V7" s="18">
        <f t="shared" ref="V7:V11" si="9">H7*3%</f>
        <v>42750</v>
      </c>
      <c r="W7" s="4"/>
      <c r="X7" s="5"/>
    </row>
    <row r="8" spans="1:24" ht="33">
      <c r="A8" s="3">
        <v>3</v>
      </c>
      <c r="B8" s="37" t="s">
        <v>82</v>
      </c>
      <c r="C8" s="51" t="s">
        <v>52</v>
      </c>
      <c r="D8" s="57">
        <v>566700</v>
      </c>
      <c r="E8" s="53">
        <v>0</v>
      </c>
      <c r="F8" s="54">
        <v>13</v>
      </c>
      <c r="G8" s="55">
        <v>15</v>
      </c>
      <c r="H8" s="13">
        <f t="shared" si="2"/>
        <v>283350</v>
      </c>
      <c r="I8" s="18">
        <f t="shared" si="3"/>
        <v>33900</v>
      </c>
      <c r="J8" s="56">
        <v>10</v>
      </c>
      <c r="K8" s="50">
        <f t="shared" si="4"/>
        <v>2951.5625</v>
      </c>
      <c r="L8" s="56">
        <v>15</v>
      </c>
      <c r="M8" s="22">
        <f t="shared" si="5"/>
        <v>4132.1875</v>
      </c>
      <c r="N8" s="56">
        <v>8</v>
      </c>
      <c r="O8" s="23">
        <f t="shared" si="6"/>
        <v>33057.5</v>
      </c>
      <c r="P8" s="18">
        <f t="shared" si="7"/>
        <v>0</v>
      </c>
      <c r="Q8" s="23">
        <f t="shared" si="0"/>
        <v>357391.25</v>
      </c>
      <c r="R8" s="18"/>
      <c r="S8" s="18">
        <f t="shared" si="1"/>
        <v>11334</v>
      </c>
      <c r="T8" s="18"/>
      <c r="U8" s="18">
        <f t="shared" si="8"/>
        <v>0</v>
      </c>
      <c r="V8" s="18">
        <f t="shared" si="9"/>
        <v>8500.5</v>
      </c>
      <c r="W8" s="4"/>
      <c r="X8" s="5"/>
    </row>
    <row r="9" spans="1:24" ht="16.5">
      <c r="A9" s="3">
        <v>4</v>
      </c>
      <c r="B9" s="37" t="s">
        <v>83</v>
      </c>
      <c r="C9" s="51" t="s">
        <v>52</v>
      </c>
      <c r="D9" s="57">
        <v>566700</v>
      </c>
      <c r="E9" s="53">
        <v>0</v>
      </c>
      <c r="F9" s="54">
        <v>13</v>
      </c>
      <c r="G9" s="55">
        <v>15</v>
      </c>
      <c r="H9" s="13">
        <f t="shared" si="2"/>
        <v>283350</v>
      </c>
      <c r="I9" s="18">
        <f t="shared" si="3"/>
        <v>33900</v>
      </c>
      <c r="J9" s="56">
        <v>10</v>
      </c>
      <c r="K9" s="50">
        <f t="shared" si="4"/>
        <v>2951.5625</v>
      </c>
      <c r="L9" s="56">
        <v>15</v>
      </c>
      <c r="M9" s="22">
        <f t="shared" si="5"/>
        <v>4132.1875</v>
      </c>
      <c r="N9" s="56">
        <v>8</v>
      </c>
      <c r="O9" s="23">
        <f t="shared" si="6"/>
        <v>33057.5</v>
      </c>
      <c r="P9" s="18">
        <f t="shared" si="7"/>
        <v>0</v>
      </c>
      <c r="Q9" s="23">
        <f t="shared" si="0"/>
        <v>357391.25</v>
      </c>
      <c r="R9" s="18"/>
      <c r="S9" s="18">
        <f t="shared" si="1"/>
        <v>11334</v>
      </c>
      <c r="T9" s="18"/>
      <c r="U9" s="18">
        <f t="shared" si="8"/>
        <v>0</v>
      </c>
      <c r="V9" s="18">
        <f t="shared" si="9"/>
        <v>8500.5</v>
      </c>
      <c r="W9" s="4"/>
      <c r="X9" s="5"/>
    </row>
    <row r="10" spans="1:24" ht="16.5">
      <c r="A10" s="3">
        <v>5</v>
      </c>
      <c r="B10" s="37" t="s">
        <v>84</v>
      </c>
      <c r="C10" s="51" t="s">
        <v>52</v>
      </c>
      <c r="D10" s="57">
        <v>566700</v>
      </c>
      <c r="E10" s="53">
        <v>0</v>
      </c>
      <c r="F10" s="54">
        <v>13</v>
      </c>
      <c r="G10" s="55">
        <v>15</v>
      </c>
      <c r="H10" s="13">
        <f t="shared" si="2"/>
        <v>283350</v>
      </c>
      <c r="I10" s="18">
        <f t="shared" si="3"/>
        <v>33900</v>
      </c>
      <c r="J10" s="56">
        <v>10</v>
      </c>
      <c r="K10" s="50">
        <f t="shared" si="4"/>
        <v>2951.5625</v>
      </c>
      <c r="L10" s="56">
        <v>15</v>
      </c>
      <c r="M10" s="22">
        <f t="shared" si="5"/>
        <v>4132.1875</v>
      </c>
      <c r="N10" s="56">
        <v>8</v>
      </c>
      <c r="O10" s="23">
        <f t="shared" si="6"/>
        <v>33057.5</v>
      </c>
      <c r="P10" s="18">
        <f t="shared" si="7"/>
        <v>0</v>
      </c>
      <c r="Q10" s="23">
        <f t="shared" si="0"/>
        <v>357391.25</v>
      </c>
      <c r="R10" s="18"/>
      <c r="S10" s="18">
        <f t="shared" si="1"/>
        <v>11334</v>
      </c>
      <c r="T10" s="18"/>
      <c r="U10" s="18">
        <f t="shared" si="8"/>
        <v>0</v>
      </c>
      <c r="V10" s="18">
        <f t="shared" si="9"/>
        <v>8500.5</v>
      </c>
      <c r="W10" s="4"/>
      <c r="X10" s="5"/>
    </row>
    <row r="11" spans="1:24" ht="16.5">
      <c r="A11" s="3">
        <v>6</v>
      </c>
      <c r="B11" s="37" t="s">
        <v>85</v>
      </c>
      <c r="C11" s="51" t="s">
        <v>53</v>
      </c>
      <c r="D11" s="57">
        <v>566700</v>
      </c>
      <c r="E11" s="58">
        <v>6950000</v>
      </c>
      <c r="F11" s="54">
        <v>13</v>
      </c>
      <c r="G11" s="55">
        <v>15</v>
      </c>
      <c r="H11" s="13">
        <f t="shared" si="2"/>
        <v>283350</v>
      </c>
      <c r="I11" s="18">
        <f t="shared" si="3"/>
        <v>33900</v>
      </c>
      <c r="J11" s="56">
        <v>0</v>
      </c>
      <c r="K11" s="20">
        <f t="shared" si="4"/>
        <v>0</v>
      </c>
      <c r="L11" s="56">
        <v>0</v>
      </c>
      <c r="M11" s="22">
        <f t="shared" si="5"/>
        <v>0</v>
      </c>
      <c r="N11" s="56">
        <v>0</v>
      </c>
      <c r="O11" s="23">
        <f t="shared" si="6"/>
        <v>0</v>
      </c>
      <c r="P11" s="18">
        <f t="shared" si="7"/>
        <v>118150.00000000001</v>
      </c>
      <c r="Q11" s="23">
        <f t="shared" si="0"/>
        <v>435400</v>
      </c>
      <c r="R11" s="18"/>
      <c r="S11" s="18">
        <f t="shared" si="1"/>
        <v>11334</v>
      </c>
      <c r="T11" s="18"/>
      <c r="U11" s="18">
        <f t="shared" si="8"/>
        <v>0</v>
      </c>
      <c r="V11" s="18">
        <f t="shared" si="9"/>
        <v>8500.5</v>
      </c>
      <c r="W11" s="4"/>
      <c r="X11" s="5"/>
    </row>
    <row r="12" spans="1:24" ht="16.5">
      <c r="A12" s="6"/>
      <c r="B12" s="2" t="s">
        <v>33</v>
      </c>
      <c r="C12" s="2"/>
      <c r="D12" s="24"/>
      <c r="E12" s="33">
        <f t="shared" ref="E12:V12" si="10">SUM(E6:E11)</f>
        <v>6950000</v>
      </c>
      <c r="F12" s="24">
        <f t="shared" si="10"/>
        <v>78</v>
      </c>
      <c r="G12" s="24">
        <f t="shared" si="10"/>
        <v>90</v>
      </c>
      <c r="H12" s="24">
        <f t="shared" si="10"/>
        <v>5808400</v>
      </c>
      <c r="I12" s="25">
        <f t="shared" si="10"/>
        <v>135600</v>
      </c>
      <c r="J12" s="25">
        <f t="shared" si="10"/>
        <v>30</v>
      </c>
      <c r="K12" s="25">
        <f t="shared" si="10"/>
        <v>8854.6875</v>
      </c>
      <c r="L12" s="25">
        <f t="shared" si="10"/>
        <v>45</v>
      </c>
      <c r="M12" s="25">
        <f t="shared" si="10"/>
        <v>12396.5625</v>
      </c>
      <c r="N12" s="25">
        <f t="shared" si="10"/>
        <v>24</v>
      </c>
      <c r="O12" s="25">
        <f t="shared" si="10"/>
        <v>99172.5</v>
      </c>
      <c r="P12" s="25">
        <f t="shared" si="10"/>
        <v>118150.00000000001</v>
      </c>
      <c r="Q12" s="25">
        <f t="shared" si="10"/>
        <v>6182573.75</v>
      </c>
      <c r="R12" s="25">
        <f t="shared" si="10"/>
        <v>0</v>
      </c>
      <c r="S12" s="25">
        <f t="shared" si="10"/>
        <v>279086</v>
      </c>
      <c r="T12" s="25">
        <f t="shared" si="10"/>
        <v>0</v>
      </c>
      <c r="U12" s="25">
        <f t="shared" si="10"/>
        <v>90000</v>
      </c>
      <c r="V12" s="25">
        <f t="shared" si="10"/>
        <v>174252</v>
      </c>
      <c r="W12" s="4"/>
      <c r="X12" s="5"/>
    </row>
    <row r="13" spans="1:24" ht="16.5">
      <c r="A13" s="113"/>
      <c r="B13" s="114"/>
      <c r="C13" s="115"/>
      <c r="D13" s="136" t="s">
        <v>14</v>
      </c>
      <c r="E13" s="136"/>
      <c r="F13" s="136"/>
      <c r="G13" s="136"/>
      <c r="H13" s="136"/>
      <c r="I13" s="136"/>
      <c r="J13" s="136"/>
      <c r="K13" s="136" t="s">
        <v>15</v>
      </c>
      <c r="L13" s="136"/>
      <c r="M13" s="136"/>
      <c r="N13" s="136"/>
      <c r="O13" s="136"/>
      <c r="P13" s="136"/>
      <c r="Q13" s="136"/>
      <c r="R13" s="136" t="s">
        <v>16</v>
      </c>
      <c r="S13" s="136"/>
      <c r="T13" s="136"/>
      <c r="U13" s="136"/>
      <c r="V13" s="136" t="s">
        <v>17</v>
      </c>
      <c r="W13" s="136"/>
      <c r="X13" s="136"/>
    </row>
    <row r="14" spans="1:24">
      <c r="A14" s="166"/>
      <c r="B14" s="167"/>
      <c r="C14" s="168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</row>
    <row r="15" spans="1:24" ht="16.5">
      <c r="A15" s="169"/>
      <c r="B15" s="170"/>
      <c r="C15" s="171"/>
      <c r="D15" s="131" t="s">
        <v>8</v>
      </c>
      <c r="E15" s="131"/>
      <c r="F15" s="131"/>
      <c r="G15" s="131"/>
      <c r="H15" s="134">
        <f>SUM(H6:H11)</f>
        <v>5808400</v>
      </c>
      <c r="I15" s="134"/>
      <c r="J15" s="134"/>
      <c r="K15" s="131" t="s">
        <v>18</v>
      </c>
      <c r="L15" s="131"/>
      <c r="M15" s="131"/>
      <c r="N15" s="17"/>
      <c r="O15" s="133"/>
      <c r="P15" s="133"/>
      <c r="Q15" s="133"/>
      <c r="R15" s="131" t="s">
        <v>19</v>
      </c>
      <c r="S15" s="139"/>
      <c r="T15" s="139"/>
      <c r="U15" s="139"/>
      <c r="V15" s="133" t="s">
        <v>20</v>
      </c>
      <c r="W15" s="133"/>
      <c r="X15" s="133"/>
    </row>
    <row r="16" spans="1:24" ht="16.5">
      <c r="A16" s="169"/>
      <c r="B16" s="170"/>
      <c r="C16" s="171"/>
      <c r="D16" s="131"/>
      <c r="E16" s="131"/>
      <c r="F16" s="131"/>
      <c r="G16" s="131"/>
      <c r="H16" s="134"/>
      <c r="I16" s="134"/>
      <c r="J16" s="134"/>
      <c r="K16" s="131"/>
      <c r="L16" s="131"/>
      <c r="M16" s="131"/>
      <c r="N16" s="17"/>
      <c r="O16" s="133"/>
      <c r="P16" s="133"/>
      <c r="Q16" s="133"/>
      <c r="R16" s="131"/>
      <c r="S16" s="139"/>
      <c r="T16" s="139"/>
      <c r="U16" s="139"/>
      <c r="V16" s="133"/>
      <c r="W16" s="133"/>
      <c r="X16" s="133"/>
    </row>
    <row r="17" spans="1:24" ht="16.5">
      <c r="A17" s="169"/>
      <c r="B17" s="170"/>
      <c r="C17" s="171"/>
      <c r="D17" s="131" t="s">
        <v>9</v>
      </c>
      <c r="E17" s="131"/>
      <c r="F17" s="131"/>
      <c r="G17" s="131"/>
      <c r="H17" s="134">
        <f>SUM(I6:I11)</f>
        <v>135600</v>
      </c>
      <c r="I17" s="134"/>
      <c r="J17" s="134"/>
      <c r="K17" s="131" t="s">
        <v>12</v>
      </c>
      <c r="L17" s="131"/>
      <c r="M17" s="131"/>
      <c r="N17" s="17"/>
      <c r="O17" s="133"/>
      <c r="P17" s="133"/>
      <c r="Q17" s="133"/>
      <c r="R17" s="131" t="s">
        <v>21</v>
      </c>
      <c r="S17" s="139"/>
      <c r="T17" s="139"/>
      <c r="U17" s="139"/>
      <c r="V17" s="133" t="s">
        <v>22</v>
      </c>
      <c r="W17" s="133"/>
      <c r="X17" s="133"/>
    </row>
    <row r="18" spans="1:24" ht="16.5">
      <c r="A18" s="169"/>
      <c r="B18" s="170"/>
      <c r="C18" s="171"/>
      <c r="D18" s="131"/>
      <c r="E18" s="131"/>
      <c r="F18" s="131"/>
      <c r="G18" s="131"/>
      <c r="H18" s="134"/>
      <c r="I18" s="134"/>
      <c r="J18" s="134"/>
      <c r="K18" s="131"/>
      <c r="L18" s="131"/>
      <c r="M18" s="131"/>
      <c r="N18" s="17"/>
      <c r="O18" s="133"/>
      <c r="P18" s="133"/>
      <c r="Q18" s="133"/>
      <c r="R18" s="131"/>
      <c r="S18" s="139"/>
      <c r="T18" s="139"/>
      <c r="U18" s="139"/>
      <c r="V18" s="133"/>
      <c r="W18" s="133"/>
      <c r="X18" s="133"/>
    </row>
    <row r="19" spans="1:24" ht="16.5">
      <c r="A19" s="169"/>
      <c r="B19" s="170"/>
      <c r="C19" s="171"/>
      <c r="D19" s="131" t="s">
        <v>10</v>
      </c>
      <c r="E19" s="131"/>
      <c r="F19" s="131"/>
      <c r="G19" s="131"/>
      <c r="H19" s="161">
        <f>SUM(K6:K11)</f>
        <v>8854.6875</v>
      </c>
      <c r="I19" s="161"/>
      <c r="J19" s="161"/>
      <c r="K19" s="131" t="s">
        <v>23</v>
      </c>
      <c r="L19" s="131"/>
      <c r="M19" s="131"/>
      <c r="N19" s="17"/>
      <c r="O19" s="133"/>
      <c r="P19" s="133"/>
      <c r="Q19" s="133"/>
      <c r="R19" s="131" t="s">
        <v>24</v>
      </c>
      <c r="S19" s="132"/>
      <c r="T19" s="132"/>
      <c r="U19" s="132"/>
      <c r="V19" s="137" t="s">
        <v>25</v>
      </c>
      <c r="W19" s="137"/>
      <c r="X19" s="134"/>
    </row>
    <row r="20" spans="1:24" ht="16.5">
      <c r="A20" s="169"/>
      <c r="B20" s="170"/>
      <c r="C20" s="171"/>
      <c r="D20" s="131"/>
      <c r="E20" s="131"/>
      <c r="F20" s="131"/>
      <c r="G20" s="131"/>
      <c r="H20" s="161"/>
      <c r="I20" s="161"/>
      <c r="J20" s="161"/>
      <c r="K20" s="131"/>
      <c r="L20" s="131"/>
      <c r="M20" s="131"/>
      <c r="N20" s="17"/>
      <c r="O20" s="133"/>
      <c r="P20" s="133"/>
      <c r="Q20" s="133"/>
      <c r="R20" s="131"/>
      <c r="S20" s="132"/>
      <c r="T20" s="132"/>
      <c r="U20" s="132"/>
      <c r="V20" s="137"/>
      <c r="W20" s="137"/>
      <c r="X20" s="134"/>
    </row>
    <row r="21" spans="1:24" ht="16.5">
      <c r="A21" s="169"/>
      <c r="B21" s="170"/>
      <c r="C21" s="171"/>
      <c r="D21" s="112" t="s">
        <v>11</v>
      </c>
      <c r="E21" s="112"/>
      <c r="F21" s="112"/>
      <c r="G21" s="112"/>
      <c r="H21" s="161">
        <f>SUM(M6:M11)</f>
        <v>12396.5625</v>
      </c>
      <c r="I21" s="161"/>
      <c r="J21" s="161"/>
      <c r="K21" s="131" t="s">
        <v>26</v>
      </c>
      <c r="L21" s="131"/>
      <c r="M21" s="131"/>
      <c r="N21" s="17"/>
      <c r="O21" s="134"/>
      <c r="P21" s="134"/>
      <c r="Q21" s="134"/>
      <c r="R21" s="131" t="s">
        <v>12</v>
      </c>
      <c r="S21" s="132"/>
      <c r="T21" s="132"/>
      <c r="U21" s="132"/>
      <c r="V21" s="137"/>
      <c r="W21" s="137"/>
      <c r="X21" s="134"/>
    </row>
    <row r="22" spans="1:24" ht="16.5">
      <c r="A22" s="169"/>
      <c r="B22" s="170"/>
      <c r="C22" s="171"/>
      <c r="D22" s="112"/>
      <c r="E22" s="112"/>
      <c r="F22" s="112"/>
      <c r="G22" s="112"/>
      <c r="H22" s="161"/>
      <c r="I22" s="161"/>
      <c r="J22" s="161"/>
      <c r="K22" s="131"/>
      <c r="L22" s="131"/>
      <c r="M22" s="131"/>
      <c r="N22" s="17"/>
      <c r="O22" s="134"/>
      <c r="P22" s="134"/>
      <c r="Q22" s="134"/>
      <c r="R22" s="131"/>
      <c r="S22" s="132"/>
      <c r="T22" s="132"/>
      <c r="U22" s="132"/>
      <c r="V22" s="133" t="s">
        <v>27</v>
      </c>
      <c r="W22" s="133"/>
      <c r="X22" s="133"/>
    </row>
    <row r="23" spans="1:24" ht="16.5">
      <c r="A23" s="169"/>
      <c r="B23" s="170"/>
      <c r="C23" s="171"/>
      <c r="D23" s="112"/>
      <c r="E23" s="112"/>
      <c r="F23" s="112"/>
      <c r="G23" s="112"/>
      <c r="H23" s="161"/>
      <c r="I23" s="161"/>
      <c r="J23" s="161"/>
      <c r="K23" s="131" t="s">
        <v>28</v>
      </c>
      <c r="L23" s="131"/>
      <c r="M23" s="131"/>
      <c r="N23" s="17"/>
      <c r="O23" s="134"/>
      <c r="P23" s="134"/>
      <c r="Q23" s="134"/>
      <c r="R23" s="131" t="s">
        <v>23</v>
      </c>
      <c r="S23" s="132"/>
      <c r="T23" s="132"/>
      <c r="U23" s="132"/>
      <c r="V23" s="133"/>
      <c r="W23" s="133"/>
      <c r="X23" s="133"/>
    </row>
    <row r="24" spans="1:24" ht="16.5">
      <c r="A24" s="169"/>
      <c r="B24" s="170"/>
      <c r="C24" s="171"/>
      <c r="D24" s="131" t="s">
        <v>29</v>
      </c>
      <c r="E24" s="131"/>
      <c r="F24" s="131"/>
      <c r="G24" s="131"/>
      <c r="H24" s="162">
        <f>SUM(H15:J23)</f>
        <v>5965251.25</v>
      </c>
      <c r="I24" s="162"/>
      <c r="J24" s="162"/>
      <c r="K24" s="131"/>
      <c r="L24" s="131"/>
      <c r="M24" s="131"/>
      <c r="N24" s="17"/>
      <c r="O24" s="134"/>
      <c r="P24" s="134"/>
      <c r="Q24" s="134"/>
      <c r="R24" s="131"/>
      <c r="S24" s="132"/>
      <c r="T24" s="132"/>
      <c r="U24" s="132"/>
      <c r="V24" s="133" t="s">
        <v>29</v>
      </c>
      <c r="W24" s="133"/>
      <c r="X24" s="133"/>
    </row>
    <row r="25" spans="1:24" ht="16.5">
      <c r="A25" s="172"/>
      <c r="B25" s="173"/>
      <c r="C25" s="174"/>
      <c r="D25" s="131"/>
      <c r="E25" s="131"/>
      <c r="F25" s="131"/>
      <c r="G25" s="131"/>
      <c r="H25" s="162"/>
      <c r="I25" s="162"/>
      <c r="J25" s="162"/>
      <c r="K25" s="112" t="s">
        <v>29</v>
      </c>
      <c r="L25" s="112"/>
      <c r="M25" s="112"/>
      <c r="N25" s="9"/>
      <c r="O25" s="134"/>
      <c r="P25" s="134"/>
      <c r="Q25" s="134"/>
      <c r="R25" s="131" t="s">
        <v>29</v>
      </c>
      <c r="S25" s="132"/>
      <c r="T25" s="132"/>
      <c r="U25" s="132"/>
      <c r="V25" s="133"/>
      <c r="W25" s="133"/>
      <c r="X25" s="133"/>
    </row>
    <row r="26" spans="1:24" ht="16.5">
      <c r="A26" s="9" t="s">
        <v>30</v>
      </c>
      <c r="B26" s="9"/>
      <c r="C26" s="9"/>
      <c r="D26" s="9" t="s">
        <v>31</v>
      </c>
      <c r="E26" s="9"/>
      <c r="F26" s="9"/>
      <c r="G26" s="138"/>
      <c r="H26" s="138"/>
      <c r="I26" s="138"/>
      <c r="J26" s="138"/>
      <c r="K26" s="112"/>
      <c r="L26" s="112"/>
      <c r="M26" s="112"/>
      <c r="N26" s="9"/>
      <c r="O26" s="134"/>
      <c r="P26" s="134"/>
      <c r="Q26" s="134"/>
      <c r="R26" s="131"/>
      <c r="S26" s="132"/>
      <c r="T26" s="132"/>
      <c r="U26" s="132"/>
      <c r="V26" s="135" t="s">
        <v>32</v>
      </c>
      <c r="W26" s="135"/>
      <c r="X26" s="135"/>
    </row>
    <row r="27" spans="1:24" ht="15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</row>
    <row r="28" spans="1:24" ht="15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</row>
    <row r="29" spans="1:24" ht="27.75">
      <c r="A29" s="59"/>
      <c r="B29" s="59"/>
      <c r="C29" s="38" t="s">
        <v>70</v>
      </c>
      <c r="D29" s="39"/>
      <c r="E29" s="39"/>
      <c r="F29" s="39"/>
      <c r="G29" s="39"/>
      <c r="H29" s="39"/>
      <c r="I29" s="39"/>
      <c r="J29" s="40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</row>
    <row r="30" spans="1:24" ht="16.5">
      <c r="A30" s="59"/>
      <c r="B30" s="59"/>
      <c r="C30" s="41" t="s">
        <v>71</v>
      </c>
      <c r="D30" s="42"/>
      <c r="E30" s="42"/>
      <c r="F30" s="42"/>
      <c r="G30" s="42"/>
      <c r="H30" s="42"/>
      <c r="I30" s="43"/>
      <c r="J30" s="44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</row>
    <row r="31" spans="1:24" ht="16.5">
      <c r="A31" s="59"/>
      <c r="B31" s="59"/>
      <c r="C31" s="45" t="s">
        <v>72</v>
      </c>
      <c r="D31" s="43"/>
      <c r="E31" s="43"/>
      <c r="F31" s="43"/>
      <c r="G31" s="43"/>
      <c r="H31" s="43"/>
      <c r="I31" s="43"/>
      <c r="J31" s="44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</row>
    <row r="32" spans="1:24" ht="16.5">
      <c r="A32" s="59"/>
      <c r="B32" s="59"/>
      <c r="C32" s="46" t="s">
        <v>73</v>
      </c>
      <c r="D32" s="47"/>
      <c r="E32" s="47"/>
      <c r="F32" s="47"/>
      <c r="G32" s="47"/>
      <c r="H32" s="47"/>
      <c r="I32" s="47"/>
      <c r="J32" s="44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</row>
    <row r="33" spans="1:24" ht="16.5">
      <c r="A33" s="59"/>
      <c r="B33" s="59"/>
      <c r="C33" s="45" t="s">
        <v>74</v>
      </c>
      <c r="D33" s="43"/>
      <c r="E33" s="43"/>
      <c r="F33" s="43"/>
      <c r="G33" s="43"/>
      <c r="H33" s="43"/>
      <c r="I33" s="43"/>
      <c r="J33" s="44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</row>
    <row r="34" spans="1:24" ht="16.5">
      <c r="A34" s="59"/>
      <c r="B34" s="59"/>
      <c r="C34" s="46" t="s">
        <v>75</v>
      </c>
      <c r="D34" s="47"/>
      <c r="E34" s="47"/>
      <c r="F34" s="47"/>
      <c r="G34" s="47"/>
      <c r="H34" s="47"/>
      <c r="I34" s="47"/>
      <c r="J34" s="44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</row>
    <row r="35" spans="1:24" ht="16.5">
      <c r="A35" s="59"/>
      <c r="B35" s="59"/>
      <c r="C35" s="45"/>
      <c r="D35" s="43" t="s">
        <v>76</v>
      </c>
      <c r="E35" s="43"/>
      <c r="F35" s="43"/>
      <c r="G35" s="43"/>
      <c r="H35" s="43"/>
      <c r="I35" s="43"/>
      <c r="J35" s="44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</row>
    <row r="36" spans="1:24" ht="16.5">
      <c r="A36" s="59"/>
      <c r="B36" s="59"/>
      <c r="C36" s="48" t="s">
        <v>77</v>
      </c>
      <c r="D36" s="49"/>
      <c r="E36" s="42"/>
      <c r="F36" s="42"/>
      <c r="G36" s="42"/>
      <c r="H36" s="42"/>
      <c r="I36" s="42"/>
      <c r="J36" s="44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</row>
    <row r="37" spans="1:24" ht="16.5">
      <c r="A37" s="59"/>
      <c r="B37" s="59"/>
      <c r="C37" s="163" t="s">
        <v>68</v>
      </c>
      <c r="D37" s="164"/>
      <c r="E37" s="164"/>
      <c r="F37" s="164"/>
      <c r="G37" s="164"/>
      <c r="H37" s="164"/>
      <c r="I37" s="164"/>
      <c r="J37" s="165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</row>
    <row r="38" spans="1:24" ht="15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</row>
    <row r="39" spans="1:24" ht="15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</row>
    <row r="40" spans="1:24" ht="15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</row>
    <row r="41" spans="1:24" ht="15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</row>
    <row r="42" spans="1:24" ht="15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</row>
    <row r="43" spans="1:24" ht="15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</row>
    <row r="44" spans="1:24" ht="15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</row>
  </sheetData>
  <mergeCells count="68">
    <mergeCell ref="A1:F3"/>
    <mergeCell ref="G1:N1"/>
    <mergeCell ref="O1:X3"/>
    <mergeCell ref="G2:N2"/>
    <mergeCell ref="G3:N3"/>
    <mergeCell ref="X4:X5"/>
    <mergeCell ref="A13:C13"/>
    <mergeCell ref="D13:J14"/>
    <mergeCell ref="K13:Q14"/>
    <mergeCell ref="R13:U14"/>
    <mergeCell ref="V13:X14"/>
    <mergeCell ref="A4:A5"/>
    <mergeCell ref="B4:B5"/>
    <mergeCell ref="C4:C5"/>
    <mergeCell ref="D4:D5"/>
    <mergeCell ref="E4:E5"/>
    <mergeCell ref="H4:O4"/>
    <mergeCell ref="X15:X16"/>
    <mergeCell ref="D17:G18"/>
    <mergeCell ref="H17:J18"/>
    <mergeCell ref="K17:M18"/>
    <mergeCell ref="O17:Q18"/>
    <mergeCell ref="R17:R18"/>
    <mergeCell ref="S17:U18"/>
    <mergeCell ref="V17:W18"/>
    <mergeCell ref="D15:G16"/>
    <mergeCell ref="H15:J16"/>
    <mergeCell ref="K15:M16"/>
    <mergeCell ref="O15:Q16"/>
    <mergeCell ref="R15:R16"/>
    <mergeCell ref="X17:X18"/>
    <mergeCell ref="D19:G20"/>
    <mergeCell ref="H19:J20"/>
    <mergeCell ref="K19:M20"/>
    <mergeCell ref="O19:Q20"/>
    <mergeCell ref="R19:R20"/>
    <mergeCell ref="S19:U20"/>
    <mergeCell ref="V19:W21"/>
    <mergeCell ref="X19:X21"/>
    <mergeCell ref="D21:G23"/>
    <mergeCell ref="H21:J23"/>
    <mergeCell ref="K21:M22"/>
    <mergeCell ref="O21:Q22"/>
    <mergeCell ref="R21:R22"/>
    <mergeCell ref="X22:X23"/>
    <mergeCell ref="K23:M24"/>
    <mergeCell ref="O23:Q24"/>
    <mergeCell ref="R23:R24"/>
    <mergeCell ref="S23:U24"/>
    <mergeCell ref="X24:X25"/>
    <mergeCell ref="K25:M26"/>
    <mergeCell ref="O25:Q26"/>
    <mergeCell ref="R25:R26"/>
    <mergeCell ref="S25:U26"/>
    <mergeCell ref="V26:X26"/>
    <mergeCell ref="C37:J37"/>
    <mergeCell ref="P4:W4"/>
    <mergeCell ref="D24:G25"/>
    <mergeCell ref="H24:J25"/>
    <mergeCell ref="V24:W25"/>
    <mergeCell ref="G26:J26"/>
    <mergeCell ref="S21:U22"/>
    <mergeCell ref="V22:W23"/>
    <mergeCell ref="S15:U16"/>
    <mergeCell ref="V15:W16"/>
    <mergeCell ref="A14:C25"/>
    <mergeCell ref="F4:F5"/>
    <mergeCell ref="G4:G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E590"/>
  </sheetPr>
  <dimension ref="A1:W41"/>
  <sheetViews>
    <sheetView zoomScaleNormal="100" workbookViewId="0">
      <selection sqref="A1:F3"/>
    </sheetView>
  </sheetViews>
  <sheetFormatPr baseColWidth="10" defaultRowHeight="12.75"/>
  <cols>
    <col min="1" max="1" width="6.85546875" customWidth="1"/>
    <col min="2" max="2" width="23.42578125" customWidth="1"/>
    <col min="3" max="3" width="13.85546875" customWidth="1"/>
    <col min="4" max="5" width="13.5703125" bestFit="1" customWidth="1"/>
    <col min="6" max="6" width="13.7109375" customWidth="1"/>
    <col min="8" max="8" width="14.140625" customWidth="1"/>
    <col min="9" max="9" width="15.85546875" customWidth="1"/>
    <col min="17" max="17" width="13" customWidth="1"/>
    <col min="20" max="20" width="13.28515625" customWidth="1"/>
    <col min="21" max="21" width="14.7109375" customWidth="1"/>
    <col min="22" max="22" width="13.140625" customWidth="1"/>
  </cols>
  <sheetData>
    <row r="1" spans="1:23" ht="21" customHeight="1">
      <c r="A1" s="203" t="s">
        <v>107</v>
      </c>
      <c r="B1" s="203"/>
      <c r="C1" s="203"/>
      <c r="D1" s="203"/>
      <c r="E1" s="203"/>
      <c r="F1" s="203"/>
      <c r="G1" s="203" t="s">
        <v>0</v>
      </c>
      <c r="H1" s="203"/>
      <c r="I1" s="203"/>
      <c r="J1" s="203"/>
      <c r="K1" s="203"/>
      <c r="L1" s="203"/>
      <c r="M1" s="203"/>
      <c r="N1" s="203"/>
      <c r="O1" s="204" t="s">
        <v>1</v>
      </c>
      <c r="P1" s="204"/>
      <c r="Q1" s="205"/>
      <c r="R1" s="205"/>
      <c r="S1" s="205"/>
      <c r="T1" s="205"/>
      <c r="U1" s="205"/>
      <c r="V1" s="205"/>
      <c r="W1" s="205"/>
    </row>
    <row r="2" spans="1:23" ht="20.25" customHeight="1">
      <c r="A2" s="203"/>
      <c r="B2" s="203"/>
      <c r="C2" s="203"/>
      <c r="D2" s="203"/>
      <c r="E2" s="203"/>
      <c r="F2" s="203"/>
      <c r="G2" s="206" t="s">
        <v>105</v>
      </c>
      <c r="H2" s="206"/>
      <c r="I2" s="206"/>
      <c r="J2" s="206"/>
      <c r="K2" s="206"/>
      <c r="L2" s="206"/>
      <c r="M2" s="206"/>
      <c r="N2" s="206"/>
      <c r="O2" s="205"/>
      <c r="P2" s="205"/>
      <c r="Q2" s="205"/>
      <c r="R2" s="205"/>
      <c r="S2" s="205"/>
      <c r="T2" s="205"/>
      <c r="U2" s="205"/>
      <c r="V2" s="205"/>
      <c r="W2" s="205"/>
    </row>
    <row r="3" spans="1:23" ht="29.25" customHeight="1">
      <c r="A3" s="203"/>
      <c r="B3" s="203"/>
      <c r="C3" s="203"/>
      <c r="D3" s="203"/>
      <c r="E3" s="203"/>
      <c r="F3" s="203"/>
      <c r="G3" s="206" t="s">
        <v>106</v>
      </c>
      <c r="H3" s="206"/>
      <c r="I3" s="206"/>
      <c r="J3" s="206"/>
      <c r="K3" s="206"/>
      <c r="L3" s="206"/>
      <c r="M3" s="206"/>
      <c r="N3" s="206"/>
      <c r="O3" s="205"/>
      <c r="P3" s="205"/>
      <c r="Q3" s="205"/>
      <c r="R3" s="205"/>
      <c r="S3" s="205"/>
      <c r="T3" s="205"/>
      <c r="U3" s="205"/>
      <c r="V3" s="205"/>
      <c r="W3" s="205"/>
    </row>
    <row r="4" spans="1:23" ht="15">
      <c r="A4" s="207" t="s">
        <v>2</v>
      </c>
      <c r="B4" s="202" t="s">
        <v>3</v>
      </c>
      <c r="C4" s="202" t="s">
        <v>49</v>
      </c>
      <c r="D4" s="202" t="s">
        <v>4</v>
      </c>
      <c r="E4" s="202" t="s">
        <v>54</v>
      </c>
      <c r="F4" s="202" t="s">
        <v>55</v>
      </c>
      <c r="G4" s="202" t="s">
        <v>56</v>
      </c>
      <c r="H4" s="160" t="s">
        <v>5</v>
      </c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202" t="s">
        <v>7</v>
      </c>
    </row>
    <row r="5" spans="1:23" ht="30" customHeight="1">
      <c r="A5" s="207"/>
      <c r="B5" s="202"/>
      <c r="C5" s="202"/>
      <c r="D5" s="202"/>
      <c r="E5" s="202"/>
      <c r="F5" s="202"/>
      <c r="G5" s="202"/>
      <c r="H5" s="10" t="s">
        <v>8</v>
      </c>
      <c r="I5" s="10" t="s">
        <v>9</v>
      </c>
      <c r="J5" s="10" t="s">
        <v>36</v>
      </c>
      <c r="K5" s="10" t="s">
        <v>10</v>
      </c>
      <c r="L5" s="10" t="s">
        <v>37</v>
      </c>
      <c r="M5" s="10" t="s">
        <v>11</v>
      </c>
      <c r="N5" s="10" t="s">
        <v>37</v>
      </c>
      <c r="O5" s="10" t="s">
        <v>34</v>
      </c>
      <c r="P5" s="10" t="s">
        <v>58</v>
      </c>
      <c r="Q5" s="10" t="s">
        <v>35</v>
      </c>
      <c r="R5" s="10" t="s">
        <v>12</v>
      </c>
      <c r="S5" s="10" t="s">
        <v>40</v>
      </c>
      <c r="T5" s="10" t="s">
        <v>18</v>
      </c>
      <c r="U5" s="10" t="s">
        <v>41</v>
      </c>
      <c r="V5" s="10" t="s">
        <v>13</v>
      </c>
      <c r="W5" s="202"/>
    </row>
    <row r="6" spans="1:23" ht="15.75" customHeight="1">
      <c r="A6" s="73">
        <v>1</v>
      </c>
      <c r="B6" s="71" t="s">
        <v>95</v>
      </c>
      <c r="C6" s="60" t="s">
        <v>86</v>
      </c>
      <c r="D6" s="53">
        <v>7490000</v>
      </c>
      <c r="E6" s="53">
        <v>0</v>
      </c>
      <c r="F6" s="54">
        <v>6</v>
      </c>
      <c r="G6" s="55">
        <v>7</v>
      </c>
      <c r="H6" s="72">
        <f>IF(G6=30,D6,(D6/30)*G6)</f>
        <v>1747666.6666666665</v>
      </c>
      <c r="I6" s="18">
        <f>IF(D6&lt;=1133400,(67800/30)*G6,0)</f>
        <v>0</v>
      </c>
      <c r="J6" s="56">
        <v>0</v>
      </c>
      <c r="K6" s="18">
        <f>IF(J6&lt;&gt;0,(D6/240)*125%,0)</f>
        <v>0</v>
      </c>
      <c r="L6" s="56">
        <v>0</v>
      </c>
      <c r="M6" s="18">
        <f>IF(L6&lt;&gt;0,(D6/240)*175%,0)</f>
        <v>0</v>
      </c>
      <c r="N6" s="56">
        <v>0</v>
      </c>
      <c r="O6" s="18">
        <f>IF(N6&lt;&gt;0,N6*(D6/240)*175%,0)</f>
        <v>0</v>
      </c>
      <c r="P6" s="18">
        <f>IF(E6&lt;&gt;0,E6*1.5%,0)</f>
        <v>0</v>
      </c>
      <c r="Q6" s="23">
        <f>SUM(H6,I6,K6,M6,O6,P6:P6)</f>
        <v>1747666.6666666665</v>
      </c>
      <c r="R6" s="18"/>
      <c r="S6" s="23">
        <f>IF(D6&gt;=(566700*4),H6*5%,H6*4%)</f>
        <v>87383.333333333328</v>
      </c>
      <c r="T6" s="18"/>
      <c r="U6" s="18">
        <f>H6*3%</f>
        <v>52429.999999999993</v>
      </c>
      <c r="V6" s="4"/>
      <c r="W6" s="5"/>
    </row>
    <row r="7" spans="1:23" ht="18.75" customHeight="1">
      <c r="A7" s="73">
        <v>2</v>
      </c>
      <c r="B7" s="71" t="s">
        <v>96</v>
      </c>
      <c r="C7" s="60" t="s">
        <v>102</v>
      </c>
      <c r="D7" s="53">
        <v>4550000</v>
      </c>
      <c r="E7" s="53">
        <v>0</v>
      </c>
      <c r="F7" s="54">
        <v>6</v>
      </c>
      <c r="G7" s="55">
        <v>7</v>
      </c>
      <c r="H7" s="72">
        <f t="shared" ref="H7:H14" si="0">IF(G7=30,D7,(D7/30)*G7)</f>
        <v>1061666.6666666665</v>
      </c>
      <c r="I7" s="18">
        <f t="shared" ref="I7:I14" si="1">IF(D7&lt;=1133400,(67800/30)*G7,0)</f>
        <v>0</v>
      </c>
      <c r="J7" s="56">
        <v>0</v>
      </c>
      <c r="K7" s="18">
        <f t="shared" ref="K7:K14" si="2">IF(J7&lt;&gt;0,(D7/240)*125%,0)</f>
        <v>0</v>
      </c>
      <c r="L7" s="56">
        <v>0</v>
      </c>
      <c r="M7" s="23">
        <f t="shared" ref="M7:M14" si="3">IF(L7&lt;&gt;0,(D7/240)*175%,0)</f>
        <v>0</v>
      </c>
      <c r="N7" s="56">
        <v>0</v>
      </c>
      <c r="O7" s="18">
        <f t="shared" ref="O7:O14" si="4">IF(N7&lt;&gt;0,N7*(D7/240)*175%,0)</f>
        <v>0</v>
      </c>
      <c r="P7" s="18">
        <f t="shared" ref="P7:P14" si="5">IF(E7&lt;&gt;0,E7*1.5%,0)</f>
        <v>0</v>
      </c>
      <c r="Q7" s="23">
        <f t="shared" ref="Q7:Q14" si="6">SUM(H7,I7,K7,M7,O7,P7:P7)</f>
        <v>1061666.6666666665</v>
      </c>
      <c r="R7" s="18"/>
      <c r="S7" s="23">
        <f t="shared" ref="S7:S14" si="7">IF(D7&gt;=(566700*4),H7*5%,H7*4%)</f>
        <v>53083.333333333328</v>
      </c>
      <c r="T7" s="18"/>
      <c r="U7" s="18">
        <f t="shared" ref="U7:U15" si="8">H7*3%</f>
        <v>31849.999999999993</v>
      </c>
      <c r="V7" s="4"/>
      <c r="W7" s="5"/>
    </row>
    <row r="8" spans="1:23" ht="20.25" customHeight="1">
      <c r="A8" s="73">
        <v>3</v>
      </c>
      <c r="B8" s="71" t="s">
        <v>97</v>
      </c>
      <c r="C8" s="60" t="s">
        <v>52</v>
      </c>
      <c r="D8" s="53">
        <v>566700</v>
      </c>
      <c r="E8" s="53">
        <v>0</v>
      </c>
      <c r="F8" s="54">
        <v>6</v>
      </c>
      <c r="G8" s="55">
        <v>7</v>
      </c>
      <c r="H8" s="72">
        <f t="shared" si="0"/>
        <v>132230</v>
      </c>
      <c r="I8" s="18">
        <f t="shared" si="1"/>
        <v>15820</v>
      </c>
      <c r="J8" s="56">
        <v>0</v>
      </c>
      <c r="K8" s="18">
        <f t="shared" si="2"/>
        <v>0</v>
      </c>
      <c r="L8" s="56">
        <v>0</v>
      </c>
      <c r="M8" s="23">
        <f t="shared" si="3"/>
        <v>0</v>
      </c>
      <c r="N8" s="56">
        <v>0</v>
      </c>
      <c r="O8" s="23">
        <f t="shared" si="4"/>
        <v>0</v>
      </c>
      <c r="P8" s="18">
        <f t="shared" si="5"/>
        <v>0</v>
      </c>
      <c r="Q8" s="18">
        <f t="shared" si="6"/>
        <v>148050</v>
      </c>
      <c r="R8" s="18"/>
      <c r="S8" s="23">
        <f t="shared" si="7"/>
        <v>5289.2</v>
      </c>
      <c r="T8" s="18"/>
      <c r="U8" s="23">
        <f t="shared" si="8"/>
        <v>3966.8999999999996</v>
      </c>
      <c r="V8" s="4"/>
      <c r="W8" s="5"/>
    </row>
    <row r="9" spans="1:23" ht="16.5">
      <c r="A9" s="73">
        <v>4</v>
      </c>
      <c r="B9" s="71" t="s">
        <v>98</v>
      </c>
      <c r="C9" s="60" t="s">
        <v>52</v>
      </c>
      <c r="D9" s="53">
        <v>566700</v>
      </c>
      <c r="E9" s="53">
        <v>0</v>
      </c>
      <c r="F9" s="54">
        <v>6</v>
      </c>
      <c r="G9" s="55">
        <v>7</v>
      </c>
      <c r="H9" s="72">
        <f t="shared" si="0"/>
        <v>132230</v>
      </c>
      <c r="I9" s="18">
        <f t="shared" si="1"/>
        <v>15820</v>
      </c>
      <c r="J9" s="56">
        <v>0</v>
      </c>
      <c r="K9" s="18">
        <f t="shared" si="2"/>
        <v>0</v>
      </c>
      <c r="L9" s="56">
        <v>0</v>
      </c>
      <c r="M9" s="23">
        <f t="shared" si="3"/>
        <v>0</v>
      </c>
      <c r="N9" s="56">
        <v>0</v>
      </c>
      <c r="O9" s="23">
        <f t="shared" si="4"/>
        <v>0</v>
      </c>
      <c r="P9" s="18">
        <f t="shared" si="5"/>
        <v>0</v>
      </c>
      <c r="Q9" s="18">
        <f t="shared" si="6"/>
        <v>148050</v>
      </c>
      <c r="R9" s="18"/>
      <c r="S9" s="23">
        <f t="shared" si="7"/>
        <v>5289.2</v>
      </c>
      <c r="T9" s="18"/>
      <c r="U9" s="23">
        <f t="shared" si="8"/>
        <v>3966.8999999999996</v>
      </c>
      <c r="V9" s="4"/>
      <c r="W9" s="5"/>
    </row>
    <row r="10" spans="1:23" ht="16.5">
      <c r="A10" s="73">
        <v>5</v>
      </c>
      <c r="B10" s="71" t="s">
        <v>99</v>
      </c>
      <c r="C10" s="60" t="s">
        <v>52</v>
      </c>
      <c r="D10" s="53">
        <v>566700</v>
      </c>
      <c r="E10" s="53">
        <v>0</v>
      </c>
      <c r="F10" s="54">
        <v>6</v>
      </c>
      <c r="G10" s="55">
        <v>7</v>
      </c>
      <c r="H10" s="72">
        <f t="shared" si="0"/>
        <v>132230</v>
      </c>
      <c r="I10" s="18">
        <f t="shared" si="1"/>
        <v>15820</v>
      </c>
      <c r="J10" s="56">
        <v>0</v>
      </c>
      <c r="K10" s="18">
        <f t="shared" si="2"/>
        <v>0</v>
      </c>
      <c r="L10" s="56">
        <v>0</v>
      </c>
      <c r="M10" s="23">
        <f t="shared" si="3"/>
        <v>0</v>
      </c>
      <c r="N10" s="56">
        <v>0</v>
      </c>
      <c r="O10" s="23">
        <f t="shared" si="4"/>
        <v>0</v>
      </c>
      <c r="P10" s="18">
        <f t="shared" si="5"/>
        <v>0</v>
      </c>
      <c r="Q10" s="18">
        <f t="shared" si="6"/>
        <v>148050</v>
      </c>
      <c r="R10" s="18"/>
      <c r="S10" s="23">
        <f t="shared" si="7"/>
        <v>5289.2</v>
      </c>
      <c r="T10" s="18"/>
      <c r="U10" s="23">
        <f t="shared" si="8"/>
        <v>3966.8999999999996</v>
      </c>
      <c r="V10" s="4"/>
      <c r="W10" s="5"/>
    </row>
    <row r="11" spans="1:23" ht="16.5">
      <c r="A11" s="73">
        <v>6</v>
      </c>
      <c r="B11" s="71" t="s">
        <v>100</v>
      </c>
      <c r="C11" s="60" t="s">
        <v>52</v>
      </c>
      <c r="D11" s="53">
        <v>566700</v>
      </c>
      <c r="E11" s="53">
        <v>0</v>
      </c>
      <c r="F11" s="54">
        <v>6</v>
      </c>
      <c r="G11" s="55">
        <v>7</v>
      </c>
      <c r="H11" s="72">
        <f t="shared" si="0"/>
        <v>132230</v>
      </c>
      <c r="I11" s="18">
        <f t="shared" si="1"/>
        <v>15820</v>
      </c>
      <c r="J11" s="56">
        <v>0</v>
      </c>
      <c r="K11" s="18">
        <f t="shared" si="2"/>
        <v>0</v>
      </c>
      <c r="L11" s="56">
        <v>0</v>
      </c>
      <c r="M11" s="23">
        <f t="shared" si="3"/>
        <v>0</v>
      </c>
      <c r="N11" s="56">
        <v>0</v>
      </c>
      <c r="O11" s="23">
        <f t="shared" si="4"/>
        <v>0</v>
      </c>
      <c r="P11" s="18">
        <f t="shared" si="5"/>
        <v>0</v>
      </c>
      <c r="Q11" s="18">
        <f t="shared" si="6"/>
        <v>148050</v>
      </c>
      <c r="R11" s="18"/>
      <c r="S11" s="23">
        <f t="shared" si="7"/>
        <v>5289.2</v>
      </c>
      <c r="T11" s="18"/>
      <c r="U11" s="23">
        <f t="shared" si="8"/>
        <v>3966.8999999999996</v>
      </c>
      <c r="V11" s="4"/>
      <c r="W11" s="5"/>
    </row>
    <row r="12" spans="1:23" ht="19.5" customHeight="1">
      <c r="A12" s="73">
        <v>7</v>
      </c>
      <c r="B12" s="71" t="s">
        <v>101</v>
      </c>
      <c r="C12" s="60" t="s">
        <v>52</v>
      </c>
      <c r="D12" s="53">
        <v>566700</v>
      </c>
      <c r="E12" s="53">
        <v>0</v>
      </c>
      <c r="F12" s="54">
        <v>6</v>
      </c>
      <c r="G12" s="55">
        <v>7</v>
      </c>
      <c r="H12" s="72">
        <f t="shared" si="0"/>
        <v>132230</v>
      </c>
      <c r="I12" s="18">
        <f t="shared" si="1"/>
        <v>15820</v>
      </c>
      <c r="J12" s="56">
        <v>0</v>
      </c>
      <c r="K12" s="18">
        <f t="shared" si="2"/>
        <v>0</v>
      </c>
      <c r="L12" s="56">
        <v>0</v>
      </c>
      <c r="M12" s="18">
        <f t="shared" si="3"/>
        <v>0</v>
      </c>
      <c r="N12" s="56">
        <v>0</v>
      </c>
      <c r="O12" s="18">
        <f t="shared" si="4"/>
        <v>0</v>
      </c>
      <c r="P12" s="18">
        <f t="shared" si="5"/>
        <v>0</v>
      </c>
      <c r="Q12" s="18">
        <f t="shared" si="6"/>
        <v>148050</v>
      </c>
      <c r="R12" s="18"/>
      <c r="S12" s="23">
        <f t="shared" si="7"/>
        <v>5289.2</v>
      </c>
      <c r="T12" s="18"/>
      <c r="U12" s="23">
        <f t="shared" si="8"/>
        <v>3966.8999999999996</v>
      </c>
      <c r="V12" s="4"/>
      <c r="W12" s="5"/>
    </row>
    <row r="13" spans="1:23" ht="16.5">
      <c r="A13" s="73">
        <v>8</v>
      </c>
      <c r="B13" s="71" t="s">
        <v>103</v>
      </c>
      <c r="C13" s="60" t="s">
        <v>53</v>
      </c>
      <c r="D13" s="53">
        <v>566700</v>
      </c>
      <c r="E13" s="53">
        <v>7950000</v>
      </c>
      <c r="F13" s="54">
        <v>6</v>
      </c>
      <c r="G13" s="55">
        <v>7</v>
      </c>
      <c r="H13" s="72">
        <f t="shared" si="0"/>
        <v>132230</v>
      </c>
      <c r="I13" s="18">
        <f t="shared" si="1"/>
        <v>15820</v>
      </c>
      <c r="J13" s="56">
        <v>0</v>
      </c>
      <c r="K13" s="18">
        <f t="shared" si="2"/>
        <v>0</v>
      </c>
      <c r="L13" s="56">
        <v>0</v>
      </c>
      <c r="M13" s="18">
        <f t="shared" si="3"/>
        <v>0</v>
      </c>
      <c r="N13" s="56">
        <v>0</v>
      </c>
      <c r="O13" s="18">
        <f t="shared" si="4"/>
        <v>0</v>
      </c>
      <c r="P13" s="18">
        <f t="shared" si="5"/>
        <v>119250</v>
      </c>
      <c r="Q13" s="18">
        <f t="shared" si="6"/>
        <v>267300</v>
      </c>
      <c r="R13" s="18"/>
      <c r="S13" s="23">
        <f t="shared" si="7"/>
        <v>5289.2</v>
      </c>
      <c r="T13" s="18"/>
      <c r="U13" s="23">
        <f t="shared" si="8"/>
        <v>3966.8999999999996</v>
      </c>
      <c r="V13" s="4"/>
      <c r="W13" s="5"/>
    </row>
    <row r="14" spans="1:23" ht="16.5">
      <c r="A14" s="73">
        <v>9</v>
      </c>
      <c r="B14" s="71" t="s">
        <v>104</v>
      </c>
      <c r="C14" s="60" t="s">
        <v>53</v>
      </c>
      <c r="D14" s="53">
        <v>566700</v>
      </c>
      <c r="E14" s="53">
        <v>7950000</v>
      </c>
      <c r="F14" s="54">
        <v>6</v>
      </c>
      <c r="G14" s="55">
        <v>7</v>
      </c>
      <c r="H14" s="72">
        <f t="shared" si="0"/>
        <v>132230</v>
      </c>
      <c r="I14" s="18">
        <f t="shared" si="1"/>
        <v>15820</v>
      </c>
      <c r="J14" s="56">
        <v>0</v>
      </c>
      <c r="K14" s="18">
        <f t="shared" si="2"/>
        <v>0</v>
      </c>
      <c r="L14" s="56">
        <v>0</v>
      </c>
      <c r="M14" s="18">
        <f t="shared" si="3"/>
        <v>0</v>
      </c>
      <c r="N14" s="56">
        <v>0</v>
      </c>
      <c r="O14" s="18">
        <f t="shared" si="4"/>
        <v>0</v>
      </c>
      <c r="P14" s="18">
        <f t="shared" si="5"/>
        <v>119250</v>
      </c>
      <c r="Q14" s="18">
        <f t="shared" si="6"/>
        <v>267300</v>
      </c>
      <c r="R14" s="18"/>
      <c r="S14" s="23">
        <f t="shared" si="7"/>
        <v>5289.2</v>
      </c>
      <c r="T14" s="18"/>
      <c r="U14" s="23">
        <f t="shared" si="8"/>
        <v>3966.8999999999996</v>
      </c>
      <c r="V14" s="4"/>
      <c r="W14" s="5"/>
    </row>
    <row r="15" spans="1:23" ht="16.5">
      <c r="A15" s="6"/>
      <c r="B15" s="2" t="s">
        <v>33</v>
      </c>
      <c r="C15" s="2"/>
      <c r="D15" s="4">
        <f>SUM(D6:D14)</f>
        <v>16006900</v>
      </c>
      <c r="E15" s="33">
        <f>SUM(E6:E14)</f>
        <v>15900000</v>
      </c>
      <c r="F15" s="33">
        <f t="shared" ref="F15:Q15" si="9">SUM(F6:F14)</f>
        <v>54</v>
      </c>
      <c r="G15" s="33">
        <f t="shared" si="9"/>
        <v>63</v>
      </c>
      <c r="H15" s="74">
        <f>SUM(H6:H14)</f>
        <v>3734943.333333333</v>
      </c>
      <c r="I15" s="33">
        <f t="shared" si="9"/>
        <v>110740</v>
      </c>
      <c r="J15" s="33">
        <f t="shared" ref="J15" si="10">SUM(J6:J14)</f>
        <v>0</v>
      </c>
      <c r="K15" s="33">
        <f t="shared" ref="K15" si="11">SUM(K6:K14)</f>
        <v>0</v>
      </c>
      <c r="L15" s="33">
        <f t="shared" ref="L15" si="12">SUM(L6:L14)</f>
        <v>0</v>
      </c>
      <c r="M15" s="33">
        <f t="shared" ref="M15" si="13">SUM(M6:M14)</f>
        <v>0</v>
      </c>
      <c r="N15" s="33">
        <f t="shared" ref="N15" si="14">SUM(N6:N14)</f>
        <v>0</v>
      </c>
      <c r="O15" s="33">
        <f t="shared" si="9"/>
        <v>0</v>
      </c>
      <c r="P15" s="33">
        <f t="shared" si="9"/>
        <v>238500</v>
      </c>
      <c r="Q15" s="74">
        <f t="shared" si="9"/>
        <v>4084183.333333333</v>
      </c>
      <c r="R15" s="74">
        <f t="shared" ref="R15" si="15">SUM(R6:R14)</f>
        <v>0</v>
      </c>
      <c r="S15" s="74">
        <f t="shared" ref="S15" si="16">SUM(S6:S14)</f>
        <v>177491.06666666674</v>
      </c>
      <c r="T15" s="74">
        <f t="shared" ref="T15" si="17">SUM(T6:T14)</f>
        <v>0</v>
      </c>
      <c r="U15" s="75">
        <f t="shared" si="8"/>
        <v>112048.29999999999</v>
      </c>
      <c r="V15" s="74"/>
      <c r="W15" s="76"/>
    </row>
    <row r="16" spans="1:23" ht="16.5">
      <c r="A16" s="138"/>
      <c r="B16" s="138"/>
      <c r="C16" s="138"/>
      <c r="D16" s="136" t="s">
        <v>14</v>
      </c>
      <c r="E16" s="136"/>
      <c r="F16" s="136"/>
      <c r="G16" s="136"/>
      <c r="H16" s="136"/>
      <c r="I16" s="136"/>
      <c r="J16" s="136"/>
      <c r="K16" s="136" t="s">
        <v>15</v>
      </c>
      <c r="L16" s="136"/>
      <c r="M16" s="136"/>
      <c r="N16" s="136"/>
      <c r="O16" s="136"/>
      <c r="P16" s="136"/>
      <c r="Q16" s="136"/>
      <c r="R16" s="136" t="s">
        <v>16</v>
      </c>
      <c r="S16" s="136"/>
      <c r="T16" s="136"/>
      <c r="U16" s="136" t="s">
        <v>17</v>
      </c>
      <c r="V16" s="136"/>
      <c r="W16" s="136"/>
    </row>
    <row r="17" spans="1:23">
      <c r="A17" s="200"/>
      <c r="B17" s="200"/>
      <c r="C17" s="200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</row>
    <row r="18" spans="1:23" ht="16.5">
      <c r="A18" s="200"/>
      <c r="B18" s="200"/>
      <c r="C18" s="200"/>
      <c r="D18" s="131" t="s">
        <v>8</v>
      </c>
      <c r="E18" s="131"/>
      <c r="F18" s="131"/>
      <c r="G18" s="131"/>
      <c r="H18" s="201">
        <f>SUM(H6:H12)</f>
        <v>3470483.333333333</v>
      </c>
      <c r="I18" s="201"/>
      <c r="J18" s="201"/>
      <c r="K18" s="131" t="s">
        <v>18</v>
      </c>
      <c r="L18" s="131"/>
      <c r="M18" s="131"/>
      <c r="N18" s="17"/>
      <c r="O18" s="133"/>
      <c r="P18" s="133"/>
      <c r="Q18" s="133"/>
      <c r="R18" s="131" t="s">
        <v>19</v>
      </c>
      <c r="S18" s="139"/>
      <c r="T18" s="139"/>
      <c r="U18" s="133" t="s">
        <v>20</v>
      </c>
      <c r="V18" s="133"/>
      <c r="W18" s="133"/>
    </row>
    <row r="19" spans="1:23" ht="16.5">
      <c r="A19" s="200"/>
      <c r="B19" s="200"/>
      <c r="C19" s="200"/>
      <c r="D19" s="131"/>
      <c r="E19" s="131"/>
      <c r="F19" s="131"/>
      <c r="G19" s="131"/>
      <c r="H19" s="201"/>
      <c r="I19" s="201"/>
      <c r="J19" s="201"/>
      <c r="K19" s="131"/>
      <c r="L19" s="131"/>
      <c r="M19" s="131"/>
      <c r="N19" s="17"/>
      <c r="O19" s="133"/>
      <c r="P19" s="133"/>
      <c r="Q19" s="133"/>
      <c r="R19" s="131"/>
      <c r="S19" s="139"/>
      <c r="T19" s="139"/>
      <c r="U19" s="133"/>
      <c r="V19" s="133"/>
      <c r="W19" s="133"/>
    </row>
    <row r="20" spans="1:23" ht="16.5">
      <c r="A20" s="200"/>
      <c r="B20" s="200"/>
      <c r="C20" s="200"/>
      <c r="D20" s="131" t="s">
        <v>9</v>
      </c>
      <c r="E20" s="131"/>
      <c r="F20" s="131"/>
      <c r="G20" s="131"/>
      <c r="H20" s="201">
        <f>SUM(I6:I12)</f>
        <v>79100</v>
      </c>
      <c r="I20" s="201"/>
      <c r="J20" s="201"/>
      <c r="K20" s="131" t="s">
        <v>12</v>
      </c>
      <c r="L20" s="131"/>
      <c r="M20" s="131"/>
      <c r="N20" s="17"/>
      <c r="O20" s="133"/>
      <c r="P20" s="133"/>
      <c r="Q20" s="133"/>
      <c r="R20" s="131" t="s">
        <v>21</v>
      </c>
      <c r="S20" s="139"/>
      <c r="T20" s="139"/>
      <c r="U20" s="133" t="s">
        <v>22</v>
      </c>
      <c r="V20" s="133"/>
      <c r="W20" s="133"/>
    </row>
    <row r="21" spans="1:23" ht="16.5">
      <c r="A21" s="200"/>
      <c r="B21" s="200"/>
      <c r="C21" s="200"/>
      <c r="D21" s="131"/>
      <c r="E21" s="131"/>
      <c r="F21" s="131"/>
      <c r="G21" s="131"/>
      <c r="H21" s="201"/>
      <c r="I21" s="201"/>
      <c r="J21" s="201"/>
      <c r="K21" s="131"/>
      <c r="L21" s="131"/>
      <c r="M21" s="131"/>
      <c r="N21" s="17"/>
      <c r="O21" s="133"/>
      <c r="P21" s="133"/>
      <c r="Q21" s="133"/>
      <c r="R21" s="131"/>
      <c r="S21" s="139"/>
      <c r="T21" s="139"/>
      <c r="U21" s="133"/>
      <c r="V21" s="133"/>
      <c r="W21" s="133"/>
    </row>
    <row r="22" spans="1:23" ht="16.5">
      <c r="A22" s="200"/>
      <c r="B22" s="200"/>
      <c r="C22" s="200"/>
      <c r="D22" s="131" t="s">
        <v>10</v>
      </c>
      <c r="E22" s="131"/>
      <c r="F22" s="131"/>
      <c r="G22" s="131"/>
      <c r="H22" s="201">
        <f>SUM(K6:K12)</f>
        <v>0</v>
      </c>
      <c r="I22" s="201"/>
      <c r="J22" s="201"/>
      <c r="K22" s="131" t="s">
        <v>23</v>
      </c>
      <c r="L22" s="131"/>
      <c r="M22" s="131"/>
      <c r="N22" s="17"/>
      <c r="O22" s="133"/>
      <c r="P22" s="133"/>
      <c r="Q22" s="133"/>
      <c r="R22" s="131" t="s">
        <v>24</v>
      </c>
      <c r="S22" s="132"/>
      <c r="T22" s="132"/>
      <c r="U22" s="137" t="s">
        <v>25</v>
      </c>
      <c r="V22" s="137"/>
      <c r="W22" s="134"/>
    </row>
    <row r="23" spans="1:23" ht="16.5">
      <c r="A23" s="200"/>
      <c r="B23" s="200"/>
      <c r="C23" s="200"/>
      <c r="D23" s="131"/>
      <c r="E23" s="131"/>
      <c r="F23" s="131"/>
      <c r="G23" s="131"/>
      <c r="H23" s="201"/>
      <c r="I23" s="201"/>
      <c r="J23" s="201"/>
      <c r="K23" s="131"/>
      <c r="L23" s="131"/>
      <c r="M23" s="131"/>
      <c r="N23" s="17"/>
      <c r="O23" s="133"/>
      <c r="P23" s="133"/>
      <c r="Q23" s="133"/>
      <c r="R23" s="131"/>
      <c r="S23" s="132"/>
      <c r="T23" s="132"/>
      <c r="U23" s="137"/>
      <c r="V23" s="137"/>
      <c r="W23" s="134"/>
    </row>
    <row r="24" spans="1:23" ht="16.5">
      <c r="A24" s="200"/>
      <c r="B24" s="200"/>
      <c r="C24" s="200"/>
      <c r="D24" s="112" t="s">
        <v>11</v>
      </c>
      <c r="E24" s="112"/>
      <c r="F24" s="112"/>
      <c r="G24" s="112"/>
      <c r="H24" s="162">
        <f>SUM(M6:M12)</f>
        <v>0</v>
      </c>
      <c r="I24" s="162"/>
      <c r="J24" s="162"/>
      <c r="K24" s="131" t="s">
        <v>26</v>
      </c>
      <c r="L24" s="131"/>
      <c r="M24" s="131"/>
      <c r="N24" s="17"/>
      <c r="O24" s="134"/>
      <c r="P24" s="134"/>
      <c r="Q24" s="134"/>
      <c r="R24" s="131" t="s">
        <v>12</v>
      </c>
      <c r="S24" s="132"/>
      <c r="T24" s="132"/>
      <c r="U24" s="137"/>
      <c r="V24" s="137"/>
      <c r="W24" s="134"/>
    </row>
    <row r="25" spans="1:23" ht="16.5">
      <c r="A25" s="200"/>
      <c r="B25" s="200"/>
      <c r="C25" s="200"/>
      <c r="D25" s="112"/>
      <c r="E25" s="112"/>
      <c r="F25" s="112"/>
      <c r="G25" s="112"/>
      <c r="H25" s="162"/>
      <c r="I25" s="162"/>
      <c r="J25" s="162"/>
      <c r="K25" s="131"/>
      <c r="L25" s="131"/>
      <c r="M25" s="131"/>
      <c r="N25" s="17"/>
      <c r="O25" s="134"/>
      <c r="P25" s="134"/>
      <c r="Q25" s="134"/>
      <c r="R25" s="131"/>
      <c r="S25" s="132"/>
      <c r="T25" s="132"/>
      <c r="U25" s="133" t="s">
        <v>27</v>
      </c>
      <c r="V25" s="133"/>
      <c r="W25" s="133"/>
    </row>
    <row r="26" spans="1:23" ht="16.5">
      <c r="A26" s="200"/>
      <c r="B26" s="200"/>
      <c r="C26" s="200"/>
      <c r="D26" s="112"/>
      <c r="E26" s="112"/>
      <c r="F26" s="112"/>
      <c r="G26" s="112"/>
      <c r="H26" s="162"/>
      <c r="I26" s="162"/>
      <c r="J26" s="162"/>
      <c r="K26" s="131" t="s">
        <v>28</v>
      </c>
      <c r="L26" s="131"/>
      <c r="M26" s="131"/>
      <c r="N26" s="17"/>
      <c r="O26" s="134"/>
      <c r="P26" s="134"/>
      <c r="Q26" s="134"/>
      <c r="R26" s="131" t="s">
        <v>23</v>
      </c>
      <c r="S26" s="132"/>
      <c r="T26" s="132"/>
      <c r="U26" s="133"/>
      <c r="V26" s="133"/>
      <c r="W26" s="133"/>
    </row>
    <row r="27" spans="1:23" ht="16.5">
      <c r="A27" s="200"/>
      <c r="B27" s="200"/>
      <c r="C27" s="200"/>
      <c r="D27" s="131" t="s">
        <v>29</v>
      </c>
      <c r="E27" s="131"/>
      <c r="F27" s="131"/>
      <c r="G27" s="131"/>
      <c r="H27" s="162">
        <f>SUM(H18:J26)</f>
        <v>3549583.333333333</v>
      </c>
      <c r="I27" s="162"/>
      <c r="J27" s="162"/>
      <c r="K27" s="131"/>
      <c r="L27" s="131"/>
      <c r="M27" s="131"/>
      <c r="N27" s="17"/>
      <c r="O27" s="134"/>
      <c r="P27" s="134"/>
      <c r="Q27" s="134"/>
      <c r="R27" s="131"/>
      <c r="S27" s="132"/>
      <c r="T27" s="132"/>
      <c r="U27" s="133" t="s">
        <v>29</v>
      </c>
      <c r="V27" s="133"/>
      <c r="W27" s="133"/>
    </row>
    <row r="28" spans="1:23" ht="16.5">
      <c r="A28" s="200"/>
      <c r="B28" s="200"/>
      <c r="C28" s="200"/>
      <c r="D28" s="131"/>
      <c r="E28" s="131"/>
      <c r="F28" s="131"/>
      <c r="G28" s="131"/>
      <c r="H28" s="162"/>
      <c r="I28" s="162"/>
      <c r="J28" s="162"/>
      <c r="K28" s="112" t="s">
        <v>29</v>
      </c>
      <c r="L28" s="112"/>
      <c r="M28" s="112"/>
      <c r="N28" s="9"/>
      <c r="O28" s="134"/>
      <c r="P28" s="134"/>
      <c r="Q28" s="134"/>
      <c r="R28" s="131" t="s">
        <v>29</v>
      </c>
      <c r="S28" s="132"/>
      <c r="T28" s="132"/>
      <c r="U28" s="133"/>
      <c r="V28" s="133"/>
      <c r="W28" s="133"/>
    </row>
    <row r="29" spans="1:23" ht="16.5">
      <c r="A29" s="9" t="s">
        <v>30</v>
      </c>
      <c r="B29" s="9"/>
      <c r="C29" s="9"/>
      <c r="D29" s="9" t="s">
        <v>31</v>
      </c>
      <c r="E29" s="9"/>
      <c r="F29" s="9"/>
      <c r="G29" s="138"/>
      <c r="H29" s="138"/>
      <c r="I29" s="138"/>
      <c r="J29" s="138"/>
      <c r="K29" s="112"/>
      <c r="L29" s="112"/>
      <c r="M29" s="112"/>
      <c r="N29" s="9"/>
      <c r="O29" s="134"/>
      <c r="P29" s="134"/>
      <c r="Q29" s="134"/>
      <c r="R29" s="131"/>
      <c r="S29" s="132"/>
      <c r="T29" s="132"/>
      <c r="U29" s="135" t="s">
        <v>32</v>
      </c>
      <c r="V29" s="135"/>
      <c r="W29" s="135"/>
    </row>
    <row r="30" spans="1:23" ht="15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</row>
    <row r="31" spans="1:23" ht="15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</row>
    <row r="32" spans="1:23" ht="15">
      <c r="A32" s="59"/>
      <c r="B32" s="59"/>
      <c r="C32" s="61" t="s">
        <v>89</v>
      </c>
      <c r="D32" s="62"/>
      <c r="E32" s="62"/>
      <c r="F32" s="62"/>
      <c r="G32" s="62"/>
      <c r="H32" s="62"/>
      <c r="I32" s="63"/>
      <c r="J32" s="64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</row>
    <row r="33" spans="1:23" ht="15">
      <c r="A33" s="59"/>
      <c r="B33" s="59"/>
      <c r="C33" s="65" t="s">
        <v>90</v>
      </c>
      <c r="D33" s="66"/>
      <c r="E33" s="66"/>
      <c r="F33" s="66"/>
      <c r="G33" s="66"/>
      <c r="H33" s="66"/>
      <c r="I33" s="66"/>
      <c r="J33" s="67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</row>
    <row r="34" spans="1:23" ht="15">
      <c r="A34" s="59"/>
      <c r="B34" s="59"/>
      <c r="C34" s="195" t="s">
        <v>91</v>
      </c>
      <c r="D34" s="196"/>
      <c r="E34" s="196"/>
      <c r="F34" s="196"/>
      <c r="G34" s="196"/>
      <c r="H34" s="196"/>
      <c r="I34" s="196"/>
      <c r="J34" s="67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</row>
    <row r="35" spans="1:23" ht="15">
      <c r="A35" s="59"/>
      <c r="B35" s="59"/>
      <c r="C35" s="65" t="s">
        <v>92</v>
      </c>
      <c r="D35" s="66"/>
      <c r="E35" s="66"/>
      <c r="F35" s="66"/>
      <c r="G35" s="66"/>
      <c r="H35" s="66"/>
      <c r="I35" s="66"/>
      <c r="J35" s="67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</row>
    <row r="36" spans="1:23" ht="15">
      <c r="A36" s="59"/>
      <c r="B36" s="59"/>
      <c r="C36" s="195" t="s">
        <v>93</v>
      </c>
      <c r="D36" s="196"/>
      <c r="E36" s="196"/>
      <c r="F36" s="196"/>
      <c r="G36" s="196"/>
      <c r="H36" s="196"/>
      <c r="I36" s="196"/>
      <c r="J36" s="67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</row>
    <row r="37" spans="1:23" ht="15">
      <c r="A37" s="59"/>
      <c r="B37" s="59"/>
      <c r="C37" s="65"/>
      <c r="D37" s="66" t="s">
        <v>76</v>
      </c>
      <c r="E37" s="66"/>
      <c r="F37" s="66"/>
      <c r="G37" s="66"/>
      <c r="H37" s="66"/>
      <c r="I37" s="66"/>
      <c r="J37" s="67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</row>
    <row r="38" spans="1:23" ht="15">
      <c r="A38" s="59"/>
      <c r="B38" s="59"/>
      <c r="C38" s="68" t="s">
        <v>94</v>
      </c>
      <c r="D38" s="69"/>
      <c r="E38" s="70"/>
      <c r="F38" s="70"/>
      <c r="G38" s="70"/>
      <c r="H38" s="70"/>
      <c r="I38" s="70"/>
      <c r="J38" s="67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</row>
    <row r="39" spans="1:23" ht="15">
      <c r="A39" s="59"/>
      <c r="B39" s="59"/>
      <c r="C39" s="197" t="s">
        <v>68</v>
      </c>
      <c r="D39" s="198"/>
      <c r="E39" s="198"/>
      <c r="F39" s="198"/>
      <c r="G39" s="198"/>
      <c r="H39" s="198"/>
      <c r="I39" s="198"/>
      <c r="J39" s="19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</row>
    <row r="40" spans="1:23" ht="15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</row>
    <row r="41" spans="1:23" ht="15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</row>
  </sheetData>
  <mergeCells count="70">
    <mergeCell ref="A4:A5"/>
    <mergeCell ref="B4:B5"/>
    <mergeCell ref="C4:C5"/>
    <mergeCell ref="D4:D5"/>
    <mergeCell ref="E4:E5"/>
    <mergeCell ref="A1:F3"/>
    <mergeCell ref="G1:N1"/>
    <mergeCell ref="O1:W3"/>
    <mergeCell ref="G2:N2"/>
    <mergeCell ref="G3:N3"/>
    <mergeCell ref="A16:C16"/>
    <mergeCell ref="D16:J17"/>
    <mergeCell ref="K16:Q17"/>
    <mergeCell ref="R16:T17"/>
    <mergeCell ref="U16:W17"/>
    <mergeCell ref="F4:F5"/>
    <mergeCell ref="G4:G5"/>
    <mergeCell ref="H4:O4"/>
    <mergeCell ref="P4:V4"/>
    <mergeCell ref="W4:W5"/>
    <mergeCell ref="W18:W19"/>
    <mergeCell ref="D20:G21"/>
    <mergeCell ref="H20:J21"/>
    <mergeCell ref="K20:M21"/>
    <mergeCell ref="O20:Q21"/>
    <mergeCell ref="R20:R21"/>
    <mergeCell ref="S20:T21"/>
    <mergeCell ref="U20:V21"/>
    <mergeCell ref="D18:G19"/>
    <mergeCell ref="H18:J19"/>
    <mergeCell ref="K18:M19"/>
    <mergeCell ref="O18:Q19"/>
    <mergeCell ref="R18:R19"/>
    <mergeCell ref="W20:W21"/>
    <mergeCell ref="K22:M23"/>
    <mergeCell ref="O22:Q23"/>
    <mergeCell ref="R22:R23"/>
    <mergeCell ref="S18:T19"/>
    <mergeCell ref="U18:V19"/>
    <mergeCell ref="S22:T23"/>
    <mergeCell ref="U22:V24"/>
    <mergeCell ref="W22:W24"/>
    <mergeCell ref="D24:G26"/>
    <mergeCell ref="H24:J26"/>
    <mergeCell ref="K24:M25"/>
    <mergeCell ref="O24:Q25"/>
    <mergeCell ref="R24:R25"/>
    <mergeCell ref="S24:T25"/>
    <mergeCell ref="U25:V26"/>
    <mergeCell ref="W25:W26"/>
    <mergeCell ref="K26:M27"/>
    <mergeCell ref="O26:Q27"/>
    <mergeCell ref="R26:R27"/>
    <mergeCell ref="S26:T27"/>
    <mergeCell ref="U27:V28"/>
    <mergeCell ref="W27:W28"/>
    <mergeCell ref="K28:M29"/>
    <mergeCell ref="O28:Q29"/>
    <mergeCell ref="R28:R29"/>
    <mergeCell ref="S28:T29"/>
    <mergeCell ref="U29:W29"/>
    <mergeCell ref="C34:I34"/>
    <mergeCell ref="C36:I36"/>
    <mergeCell ref="C39:J39"/>
    <mergeCell ref="D27:G28"/>
    <mergeCell ref="H27:J28"/>
    <mergeCell ref="G29:J29"/>
    <mergeCell ref="A17:C28"/>
    <mergeCell ref="D22:G23"/>
    <mergeCell ref="H22:J2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944FF"/>
  </sheetPr>
  <dimension ref="A1:W39"/>
  <sheetViews>
    <sheetView topLeftCell="A13" zoomScaleNormal="100" workbookViewId="0">
      <selection activeCell="X27" sqref="X27"/>
    </sheetView>
  </sheetViews>
  <sheetFormatPr baseColWidth="10" defaultRowHeight="12.75"/>
  <cols>
    <col min="1" max="1" width="7.5703125" customWidth="1"/>
    <col min="2" max="2" width="28.42578125" customWidth="1"/>
    <col min="3" max="3" width="15.140625" customWidth="1"/>
    <col min="4" max="4" width="14.7109375" bestFit="1" customWidth="1"/>
    <col min="5" max="5" width="17.85546875" customWidth="1"/>
    <col min="7" max="7" width="16.85546875" customWidth="1"/>
    <col min="8" max="8" width="13.28515625" customWidth="1"/>
    <col min="14" max="14" width="16" customWidth="1"/>
    <col min="15" max="15" width="16.5703125" customWidth="1"/>
    <col min="16" max="16" width="18.7109375" customWidth="1"/>
    <col min="19" max="19" width="14.85546875" customWidth="1"/>
    <col min="20" max="20" width="14.42578125" customWidth="1"/>
    <col min="21" max="21" width="15.7109375" customWidth="1"/>
    <col min="22" max="22" width="14.42578125" bestFit="1" customWidth="1"/>
    <col min="23" max="23" width="14" bestFit="1" customWidth="1"/>
  </cols>
  <sheetData>
    <row r="1" spans="1:23" ht="30" customHeight="1">
      <c r="A1" s="223" t="s">
        <v>127</v>
      </c>
      <c r="B1" s="224"/>
      <c r="C1" s="224"/>
      <c r="D1" s="224"/>
      <c r="E1" s="225"/>
      <c r="F1" s="223" t="s">
        <v>0</v>
      </c>
      <c r="G1" s="224"/>
      <c r="H1" s="224"/>
      <c r="I1" s="224"/>
      <c r="J1" s="224"/>
      <c r="K1" s="224"/>
      <c r="L1" s="224"/>
      <c r="M1" s="225"/>
      <c r="N1" s="232" t="s">
        <v>1</v>
      </c>
      <c r="O1" s="233"/>
      <c r="P1" s="234"/>
      <c r="Q1" s="234"/>
      <c r="R1" s="234"/>
      <c r="S1" s="234"/>
      <c r="T1" s="234"/>
      <c r="U1" s="234"/>
      <c r="V1" s="234"/>
      <c r="W1" s="235"/>
    </row>
    <row r="2" spans="1:23" ht="24.75" customHeight="1">
      <c r="A2" s="226"/>
      <c r="B2" s="227"/>
      <c r="C2" s="227"/>
      <c r="D2" s="227"/>
      <c r="E2" s="228"/>
      <c r="F2" s="125" t="s">
        <v>116</v>
      </c>
      <c r="G2" s="126"/>
      <c r="H2" s="126"/>
      <c r="I2" s="126"/>
      <c r="J2" s="126"/>
      <c r="K2" s="126"/>
      <c r="L2" s="126"/>
      <c r="M2" s="127"/>
      <c r="N2" s="236"/>
      <c r="O2" s="237"/>
      <c r="P2" s="237"/>
      <c r="Q2" s="237"/>
      <c r="R2" s="237"/>
      <c r="S2" s="237"/>
      <c r="T2" s="237"/>
      <c r="U2" s="237"/>
      <c r="V2" s="237"/>
      <c r="W2" s="238"/>
    </row>
    <row r="3" spans="1:23" ht="21" customHeight="1">
      <c r="A3" s="229"/>
      <c r="B3" s="230"/>
      <c r="C3" s="230"/>
      <c r="D3" s="230"/>
      <c r="E3" s="231"/>
      <c r="F3" s="128" t="s">
        <v>117</v>
      </c>
      <c r="G3" s="129"/>
      <c r="H3" s="129"/>
      <c r="I3" s="129"/>
      <c r="J3" s="129"/>
      <c r="K3" s="129"/>
      <c r="L3" s="129"/>
      <c r="M3" s="130"/>
      <c r="N3" s="239"/>
      <c r="O3" s="240"/>
      <c r="P3" s="240"/>
      <c r="Q3" s="240"/>
      <c r="R3" s="240"/>
      <c r="S3" s="240"/>
      <c r="T3" s="240"/>
      <c r="U3" s="240"/>
      <c r="V3" s="240"/>
      <c r="W3" s="241"/>
    </row>
    <row r="4" spans="1:23" ht="16.5">
      <c r="A4" s="242" t="s">
        <v>2</v>
      </c>
      <c r="B4" s="217" t="s">
        <v>3</v>
      </c>
      <c r="C4" s="217" t="s">
        <v>49</v>
      </c>
      <c r="D4" s="217" t="s">
        <v>4</v>
      </c>
      <c r="E4" s="217" t="s">
        <v>55</v>
      </c>
      <c r="F4" s="217" t="s">
        <v>56</v>
      </c>
      <c r="G4" s="219" t="s">
        <v>5</v>
      </c>
      <c r="H4" s="219"/>
      <c r="I4" s="219"/>
      <c r="J4" s="219"/>
      <c r="K4" s="219"/>
      <c r="L4" s="219"/>
      <c r="M4" s="219"/>
      <c r="N4" s="219"/>
      <c r="O4" s="220" t="s">
        <v>6</v>
      </c>
      <c r="P4" s="221"/>
      <c r="Q4" s="221"/>
      <c r="R4" s="221"/>
      <c r="S4" s="221"/>
      <c r="T4" s="221"/>
      <c r="U4" s="221"/>
      <c r="V4" s="222"/>
      <c r="W4" s="217" t="s">
        <v>7</v>
      </c>
    </row>
    <row r="5" spans="1:23" ht="39.75" customHeight="1">
      <c r="A5" s="243"/>
      <c r="B5" s="218"/>
      <c r="C5" s="218"/>
      <c r="D5" s="218"/>
      <c r="E5" s="218"/>
      <c r="F5" s="218"/>
      <c r="G5" s="81" t="s">
        <v>8</v>
      </c>
      <c r="H5" s="81" t="s">
        <v>9</v>
      </c>
      <c r="I5" s="81" t="s">
        <v>36</v>
      </c>
      <c r="J5" s="81" t="s">
        <v>10</v>
      </c>
      <c r="K5" s="81" t="s">
        <v>37</v>
      </c>
      <c r="L5" s="81" t="s">
        <v>11</v>
      </c>
      <c r="M5" s="81" t="s">
        <v>37</v>
      </c>
      <c r="N5" s="81" t="s">
        <v>34</v>
      </c>
      <c r="O5" s="81" t="s">
        <v>57</v>
      </c>
      <c r="P5" s="81" t="s">
        <v>35</v>
      </c>
      <c r="Q5" s="81" t="s">
        <v>12</v>
      </c>
      <c r="R5" s="81" t="s">
        <v>40</v>
      </c>
      <c r="S5" s="81" t="s">
        <v>18</v>
      </c>
      <c r="T5" s="81" t="s">
        <v>88</v>
      </c>
      <c r="U5" s="81" t="s">
        <v>41</v>
      </c>
      <c r="V5" s="81" t="s">
        <v>13</v>
      </c>
      <c r="W5" s="218"/>
    </row>
    <row r="6" spans="1:23" ht="41.25" customHeight="1">
      <c r="A6" s="3">
        <v>1</v>
      </c>
      <c r="B6" s="82" t="s">
        <v>118</v>
      </c>
      <c r="C6" s="78" t="s">
        <v>50</v>
      </c>
      <c r="D6" s="83">
        <v>8180000</v>
      </c>
      <c r="E6" s="84"/>
      <c r="F6" s="80">
        <v>30</v>
      </c>
      <c r="G6" s="13">
        <f t="shared" ref="G6:G13" si="0">IF(F6=30,D6,(D6/30)*F6)</f>
        <v>8180000</v>
      </c>
      <c r="H6" s="77">
        <f t="shared" ref="H6:H13" si="1">IF(D6&lt;=1133400,(67800/30)*F6,0)</f>
        <v>0</v>
      </c>
      <c r="I6" s="77">
        <v>0</v>
      </c>
      <c r="J6" s="20">
        <f t="shared" ref="J6:J13" si="2">IF(I6&lt;&gt;0,(D6/240)*125%,0)</f>
        <v>0</v>
      </c>
      <c r="K6" s="77">
        <v>0</v>
      </c>
      <c r="L6" s="21">
        <f t="shared" ref="L6:L13" si="3">IF(K6&lt;&gt;0,(D6/240)*175%,0)</f>
        <v>0</v>
      </c>
      <c r="M6" s="77">
        <v>0</v>
      </c>
      <c r="N6" s="77">
        <f t="shared" ref="N6:N13" si="4">IF(M6&lt;&gt;0,M6*(D6/240)*175%,0)</f>
        <v>0</v>
      </c>
      <c r="O6" s="77">
        <f>IF(C6="Operario",200000,0)</f>
        <v>0</v>
      </c>
      <c r="P6" s="77">
        <f t="shared" ref="P6:P11" si="5">SUM(G6,H6,J6,L6,N6,O6:O6)</f>
        <v>8180000</v>
      </c>
      <c r="Q6" s="77">
        <f>IF(D6&lt;=566700*2,P6-H6*4%,0)</f>
        <v>0</v>
      </c>
      <c r="R6" s="77">
        <f t="shared" ref="R6:R13" si="6">IF(D6&gt;=(566700*4),G6*5%,G6*4%)</f>
        <v>409000</v>
      </c>
      <c r="S6" s="77">
        <v>0</v>
      </c>
      <c r="T6" s="77">
        <f>IF(C6="Dibujante",(170000/30)*F6,0)</f>
        <v>0</v>
      </c>
      <c r="U6" s="77">
        <f>G6*2.5%</f>
        <v>204500</v>
      </c>
      <c r="V6" s="4">
        <f>SUM(Q6,U6)</f>
        <v>204500</v>
      </c>
      <c r="W6" s="245">
        <f>(P6-V6)</f>
        <v>7975500</v>
      </c>
    </row>
    <row r="7" spans="1:23" ht="16.5">
      <c r="A7" s="3">
        <v>2</v>
      </c>
      <c r="B7" s="82" t="s">
        <v>119</v>
      </c>
      <c r="C7" s="78" t="s">
        <v>51</v>
      </c>
      <c r="D7" s="83">
        <v>5150000</v>
      </c>
      <c r="E7" s="84">
        <v>26</v>
      </c>
      <c r="F7" s="80">
        <v>30</v>
      </c>
      <c r="G7" s="13">
        <f t="shared" si="0"/>
        <v>5150000</v>
      </c>
      <c r="H7" s="77">
        <f t="shared" si="1"/>
        <v>0</v>
      </c>
      <c r="I7" s="77">
        <v>0</v>
      </c>
      <c r="J7" s="20">
        <f t="shared" si="2"/>
        <v>0</v>
      </c>
      <c r="K7" s="77">
        <v>0</v>
      </c>
      <c r="L7" s="22">
        <f t="shared" si="3"/>
        <v>0</v>
      </c>
      <c r="M7" s="77">
        <v>0</v>
      </c>
      <c r="N7" s="77">
        <f t="shared" si="4"/>
        <v>0</v>
      </c>
      <c r="O7" s="77">
        <f t="shared" ref="O7:O13" si="7">IF(C7="Operario",200000,0)</f>
        <v>0</v>
      </c>
      <c r="P7" s="23">
        <f t="shared" si="5"/>
        <v>5150000</v>
      </c>
      <c r="Q7" s="79">
        <f t="shared" ref="Q7:Q13" si="8">IF(D7&lt;=566700*2,P7-H7*4%,0)</f>
        <v>0</v>
      </c>
      <c r="R7" s="77">
        <f t="shared" si="6"/>
        <v>257500</v>
      </c>
      <c r="S7" s="79">
        <v>0</v>
      </c>
      <c r="T7" s="77">
        <f t="shared" ref="T7:T13" si="9">IF(C7="Dibujante",(170000/30)*F7,0)</f>
        <v>170000</v>
      </c>
      <c r="U7" s="77">
        <f t="shared" ref="U7:U13" si="10">G7*2.5%</f>
        <v>128750</v>
      </c>
      <c r="V7" s="4">
        <f t="shared" ref="V7:V13" si="11">SUM(Q7,U7)</f>
        <v>128750</v>
      </c>
      <c r="W7" s="245">
        <f t="shared" ref="W7:W13" si="12">(P7-V7)</f>
        <v>5021250</v>
      </c>
    </row>
    <row r="8" spans="1:23" ht="16.5">
      <c r="A8" s="3">
        <v>3</v>
      </c>
      <c r="B8" s="82" t="s">
        <v>121</v>
      </c>
      <c r="C8" s="78" t="s">
        <v>52</v>
      </c>
      <c r="D8" s="83">
        <v>566700</v>
      </c>
      <c r="E8" s="84">
        <v>26</v>
      </c>
      <c r="F8" s="80">
        <v>30</v>
      </c>
      <c r="G8" s="13">
        <f t="shared" si="0"/>
        <v>566700</v>
      </c>
      <c r="H8" s="77">
        <f t="shared" si="1"/>
        <v>67800</v>
      </c>
      <c r="I8" s="77">
        <v>0</v>
      </c>
      <c r="J8" s="20">
        <f t="shared" si="2"/>
        <v>0</v>
      </c>
      <c r="K8" s="77">
        <v>11</v>
      </c>
      <c r="L8" s="22">
        <f t="shared" si="3"/>
        <v>4132.1875</v>
      </c>
      <c r="M8" s="77">
        <v>1</v>
      </c>
      <c r="N8" s="23">
        <f t="shared" si="4"/>
        <v>4132.1875</v>
      </c>
      <c r="O8" s="77">
        <f t="shared" si="7"/>
        <v>200000</v>
      </c>
      <c r="P8" s="23">
        <f t="shared" si="5"/>
        <v>842764.375</v>
      </c>
      <c r="Q8" s="79">
        <f t="shared" si="8"/>
        <v>840052.375</v>
      </c>
      <c r="R8" s="77">
        <f t="shared" si="6"/>
        <v>22668</v>
      </c>
      <c r="S8" s="79">
        <v>0</v>
      </c>
      <c r="T8" s="77">
        <f t="shared" si="9"/>
        <v>0</v>
      </c>
      <c r="U8" s="23">
        <f t="shared" si="10"/>
        <v>14167.5</v>
      </c>
      <c r="V8" s="4">
        <f t="shared" si="11"/>
        <v>854219.875</v>
      </c>
      <c r="W8" s="245">
        <f t="shared" si="12"/>
        <v>-11455.5</v>
      </c>
    </row>
    <row r="9" spans="1:23" ht="16.5">
      <c r="A9" s="3">
        <v>4</v>
      </c>
      <c r="B9" s="82" t="s">
        <v>120</v>
      </c>
      <c r="C9" s="78" t="s">
        <v>52</v>
      </c>
      <c r="D9" s="83">
        <v>566700</v>
      </c>
      <c r="E9" s="84">
        <v>26</v>
      </c>
      <c r="F9" s="80">
        <v>30</v>
      </c>
      <c r="G9" s="13">
        <f t="shared" si="0"/>
        <v>566700</v>
      </c>
      <c r="H9" s="77">
        <f t="shared" si="1"/>
        <v>67800</v>
      </c>
      <c r="I9" s="77">
        <v>0</v>
      </c>
      <c r="J9" s="20">
        <f t="shared" si="2"/>
        <v>0</v>
      </c>
      <c r="K9" s="77">
        <v>11</v>
      </c>
      <c r="L9" s="22">
        <f t="shared" si="3"/>
        <v>4132.1875</v>
      </c>
      <c r="M9" s="77">
        <v>1</v>
      </c>
      <c r="N9" s="23">
        <f t="shared" si="4"/>
        <v>4132.1875</v>
      </c>
      <c r="O9" s="77">
        <f t="shared" si="7"/>
        <v>200000</v>
      </c>
      <c r="P9" s="23">
        <f t="shared" si="5"/>
        <v>842764.375</v>
      </c>
      <c r="Q9" s="79">
        <f t="shared" si="8"/>
        <v>840052.375</v>
      </c>
      <c r="R9" s="77">
        <f t="shared" si="6"/>
        <v>22668</v>
      </c>
      <c r="S9" s="79">
        <v>0</v>
      </c>
      <c r="T9" s="77">
        <f t="shared" si="9"/>
        <v>0</v>
      </c>
      <c r="U9" s="23">
        <f t="shared" si="10"/>
        <v>14167.5</v>
      </c>
      <c r="V9" s="4">
        <f t="shared" si="11"/>
        <v>854219.875</v>
      </c>
      <c r="W9" s="245">
        <f t="shared" si="12"/>
        <v>-11455.5</v>
      </c>
    </row>
    <row r="10" spans="1:23" ht="16.5">
      <c r="A10" s="3">
        <v>5</v>
      </c>
      <c r="B10" s="82" t="s">
        <v>122</v>
      </c>
      <c r="C10" s="78" t="s">
        <v>52</v>
      </c>
      <c r="D10" s="83">
        <v>566700</v>
      </c>
      <c r="E10" s="84">
        <v>26</v>
      </c>
      <c r="F10" s="80">
        <v>30</v>
      </c>
      <c r="G10" s="13">
        <f t="shared" si="0"/>
        <v>566700</v>
      </c>
      <c r="H10" s="77">
        <f t="shared" si="1"/>
        <v>67800</v>
      </c>
      <c r="I10" s="77">
        <v>0</v>
      </c>
      <c r="J10" s="20">
        <f t="shared" si="2"/>
        <v>0</v>
      </c>
      <c r="K10" s="77">
        <v>11</v>
      </c>
      <c r="L10" s="22">
        <f t="shared" si="3"/>
        <v>4132.1875</v>
      </c>
      <c r="M10" s="77">
        <v>1</v>
      </c>
      <c r="N10" s="23">
        <f t="shared" si="4"/>
        <v>4132.1875</v>
      </c>
      <c r="O10" s="77">
        <f t="shared" si="7"/>
        <v>200000</v>
      </c>
      <c r="P10" s="23">
        <f t="shared" si="5"/>
        <v>842764.375</v>
      </c>
      <c r="Q10" s="79">
        <f t="shared" si="8"/>
        <v>840052.375</v>
      </c>
      <c r="R10" s="77">
        <f t="shared" si="6"/>
        <v>22668</v>
      </c>
      <c r="S10" s="79">
        <v>0</v>
      </c>
      <c r="T10" s="77">
        <f t="shared" si="9"/>
        <v>0</v>
      </c>
      <c r="U10" s="23">
        <f t="shared" si="10"/>
        <v>14167.5</v>
      </c>
      <c r="V10" s="4">
        <f t="shared" si="11"/>
        <v>854219.875</v>
      </c>
      <c r="W10" s="245">
        <f t="shared" si="12"/>
        <v>-11455.5</v>
      </c>
    </row>
    <row r="11" spans="1:23" ht="16.5">
      <c r="A11" s="3">
        <v>6</v>
      </c>
      <c r="B11" s="82" t="s">
        <v>123</v>
      </c>
      <c r="C11" s="78" t="s">
        <v>52</v>
      </c>
      <c r="D11" s="83">
        <v>566700</v>
      </c>
      <c r="E11" s="84">
        <v>26</v>
      </c>
      <c r="F11" s="80">
        <v>30</v>
      </c>
      <c r="G11" s="13">
        <f t="shared" si="0"/>
        <v>566700</v>
      </c>
      <c r="H11" s="77">
        <f t="shared" si="1"/>
        <v>67800</v>
      </c>
      <c r="I11" s="77">
        <v>0</v>
      </c>
      <c r="J11" s="20">
        <f t="shared" si="2"/>
        <v>0</v>
      </c>
      <c r="K11" s="77">
        <v>11</v>
      </c>
      <c r="L11" s="22">
        <f t="shared" si="3"/>
        <v>4132.1875</v>
      </c>
      <c r="M11" s="77">
        <v>1</v>
      </c>
      <c r="N11" s="23">
        <f t="shared" si="4"/>
        <v>4132.1875</v>
      </c>
      <c r="O11" s="77">
        <f t="shared" si="7"/>
        <v>200000</v>
      </c>
      <c r="P11" s="23">
        <f t="shared" si="5"/>
        <v>842764.375</v>
      </c>
      <c r="Q11" s="79">
        <f t="shared" si="8"/>
        <v>840052.375</v>
      </c>
      <c r="R11" s="77">
        <f t="shared" si="6"/>
        <v>22668</v>
      </c>
      <c r="S11" s="79">
        <v>0</v>
      </c>
      <c r="T11" s="77">
        <f t="shared" si="9"/>
        <v>0</v>
      </c>
      <c r="U11" s="23">
        <f t="shared" si="10"/>
        <v>14167.5</v>
      </c>
      <c r="V11" s="4">
        <f t="shared" si="11"/>
        <v>854219.875</v>
      </c>
      <c r="W11" s="245">
        <f t="shared" si="12"/>
        <v>-11455.5</v>
      </c>
    </row>
    <row r="12" spans="1:23" ht="26.25" customHeight="1">
      <c r="A12" s="3">
        <v>7</v>
      </c>
      <c r="B12" s="82" t="s">
        <v>124</v>
      </c>
      <c r="C12" s="78" t="s">
        <v>126</v>
      </c>
      <c r="D12" s="83">
        <v>650000</v>
      </c>
      <c r="E12" s="84">
        <v>26</v>
      </c>
      <c r="F12" s="80">
        <v>30</v>
      </c>
      <c r="G12" s="13">
        <f t="shared" si="0"/>
        <v>650000</v>
      </c>
      <c r="H12" s="77">
        <f t="shared" si="1"/>
        <v>67800</v>
      </c>
      <c r="I12" s="77">
        <v>0</v>
      </c>
      <c r="J12" s="20">
        <f t="shared" si="2"/>
        <v>0</v>
      </c>
      <c r="K12" s="77">
        <v>10</v>
      </c>
      <c r="L12" s="22">
        <f t="shared" si="3"/>
        <v>4739.5833333333339</v>
      </c>
      <c r="M12" s="77">
        <v>2</v>
      </c>
      <c r="N12" s="23">
        <f t="shared" si="4"/>
        <v>9479.1666666666679</v>
      </c>
      <c r="O12" s="77">
        <f t="shared" si="7"/>
        <v>0</v>
      </c>
      <c r="P12" s="23"/>
      <c r="Q12" s="79">
        <f t="shared" si="8"/>
        <v>-2712</v>
      </c>
      <c r="R12" s="77">
        <f t="shared" si="6"/>
        <v>26000</v>
      </c>
      <c r="S12" s="79">
        <v>0</v>
      </c>
      <c r="T12" s="77">
        <f t="shared" si="9"/>
        <v>0</v>
      </c>
      <c r="U12" s="23">
        <f t="shared" si="10"/>
        <v>16250</v>
      </c>
      <c r="V12" s="4">
        <f t="shared" si="11"/>
        <v>13538</v>
      </c>
      <c r="W12" s="245">
        <f t="shared" si="12"/>
        <v>-13538</v>
      </c>
    </row>
    <row r="13" spans="1:23" ht="16.5">
      <c r="A13" s="3">
        <v>8</v>
      </c>
      <c r="B13" s="82" t="s">
        <v>125</v>
      </c>
      <c r="C13" s="78" t="s">
        <v>126</v>
      </c>
      <c r="D13" s="83">
        <v>650000</v>
      </c>
      <c r="E13" s="84">
        <v>26</v>
      </c>
      <c r="F13" s="80">
        <v>30</v>
      </c>
      <c r="G13" s="13">
        <f t="shared" si="0"/>
        <v>650000</v>
      </c>
      <c r="H13" s="77">
        <f t="shared" si="1"/>
        <v>67800</v>
      </c>
      <c r="I13" s="77">
        <v>0</v>
      </c>
      <c r="J13" s="20">
        <f t="shared" si="2"/>
        <v>0</v>
      </c>
      <c r="K13" s="77">
        <v>10</v>
      </c>
      <c r="L13" s="22">
        <f t="shared" si="3"/>
        <v>4739.5833333333339</v>
      </c>
      <c r="M13" s="77">
        <v>2</v>
      </c>
      <c r="N13" s="23">
        <f t="shared" si="4"/>
        <v>9479.1666666666679</v>
      </c>
      <c r="O13" s="77">
        <f t="shared" si="7"/>
        <v>0</v>
      </c>
      <c r="P13" s="23">
        <f>SUM(G13,H13,J13,L13,N13,O13:O13)</f>
        <v>732018.75</v>
      </c>
      <c r="Q13" s="79">
        <f t="shared" si="8"/>
        <v>729306.75</v>
      </c>
      <c r="R13" s="77">
        <f t="shared" si="6"/>
        <v>26000</v>
      </c>
      <c r="S13" s="79">
        <v>0</v>
      </c>
      <c r="T13" s="77">
        <f t="shared" si="9"/>
        <v>0</v>
      </c>
      <c r="U13" s="23">
        <f t="shared" si="10"/>
        <v>16250</v>
      </c>
      <c r="V13" s="4">
        <f t="shared" si="11"/>
        <v>745556.75</v>
      </c>
      <c r="W13" s="245">
        <f t="shared" si="12"/>
        <v>-13538</v>
      </c>
    </row>
    <row r="14" spans="1:23" ht="16.5">
      <c r="A14" s="6"/>
      <c r="B14" s="35" t="s">
        <v>33</v>
      </c>
      <c r="C14" s="35"/>
      <c r="D14" s="4">
        <f>SUM(D6:D13)</f>
        <v>16896800</v>
      </c>
      <c r="E14" s="4">
        <f>SUM(E6:E13)</f>
        <v>182</v>
      </c>
      <c r="F14" s="4">
        <f t="shared" ref="F14:R14" si="13">SUM(F6:F13)</f>
        <v>240</v>
      </c>
      <c r="G14" s="4">
        <f>SUM(G6:G13)</f>
        <v>16896800</v>
      </c>
      <c r="H14" s="34">
        <f>SUM(H6:H13)</f>
        <v>406800</v>
      </c>
      <c r="I14" s="34">
        <f t="shared" si="13"/>
        <v>0</v>
      </c>
      <c r="J14" s="34">
        <f>SUM(J6:J13)</f>
        <v>0</v>
      </c>
      <c r="K14" s="34">
        <f t="shared" si="13"/>
        <v>64</v>
      </c>
      <c r="L14" s="34">
        <f>SUM(L6:L13)</f>
        <v>26007.916666666672</v>
      </c>
      <c r="M14" s="34">
        <f t="shared" si="13"/>
        <v>8</v>
      </c>
      <c r="N14" s="34">
        <f t="shared" si="13"/>
        <v>35487.083333333336</v>
      </c>
      <c r="O14" s="34">
        <f t="shared" si="13"/>
        <v>800000</v>
      </c>
      <c r="P14" s="34">
        <f t="shared" si="13"/>
        <v>17433076.25</v>
      </c>
      <c r="Q14" s="244">
        <f>SUM(Q6:Q13)</f>
        <v>4086804.25</v>
      </c>
      <c r="R14" s="34">
        <f t="shared" si="13"/>
        <v>809172</v>
      </c>
      <c r="S14" s="34">
        <f>SUM(S6:S13)</f>
        <v>0</v>
      </c>
      <c r="T14" s="34"/>
      <c r="U14" s="34">
        <f t="shared" ref="U14" si="14">SUM(U6:U13)</f>
        <v>422420</v>
      </c>
      <c r="V14" s="4">
        <f>SUM(V6:V13)</f>
        <v>4509224.25</v>
      </c>
      <c r="W14" s="5">
        <f>SUM(W6:W13)</f>
        <v>12923852</v>
      </c>
    </row>
    <row r="15" spans="1:23" ht="16.5">
      <c r="A15" s="113"/>
      <c r="B15" s="114"/>
      <c r="C15" s="115"/>
      <c r="D15" s="136" t="s">
        <v>14</v>
      </c>
      <c r="E15" s="136"/>
      <c r="F15" s="136"/>
      <c r="G15" s="136"/>
      <c r="H15" s="136"/>
      <c r="I15" s="136"/>
      <c r="J15" s="136" t="s">
        <v>15</v>
      </c>
      <c r="K15" s="136"/>
      <c r="L15" s="136"/>
      <c r="M15" s="136"/>
      <c r="N15" s="136"/>
      <c r="O15" s="136"/>
      <c r="P15" s="136"/>
      <c r="Q15" s="136" t="s">
        <v>16</v>
      </c>
      <c r="R15" s="136"/>
      <c r="S15" s="136"/>
      <c r="T15" s="136"/>
      <c r="U15" s="136" t="s">
        <v>17</v>
      </c>
      <c r="V15" s="136"/>
      <c r="W15" s="136"/>
    </row>
    <row r="16" spans="1:23">
      <c r="A16" s="208"/>
      <c r="B16" s="209"/>
      <c r="C16" s="210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</row>
    <row r="17" spans="1:23" ht="16.5" customHeight="1">
      <c r="A17" s="211"/>
      <c r="B17" s="212"/>
      <c r="C17" s="213"/>
      <c r="D17" s="131" t="s">
        <v>8</v>
      </c>
      <c r="E17" s="131"/>
      <c r="F17" s="131"/>
      <c r="G17" s="134">
        <f>SUM(G6:G13)</f>
        <v>16896800</v>
      </c>
      <c r="H17" s="134"/>
      <c r="I17" s="134"/>
      <c r="J17" s="131" t="s">
        <v>18</v>
      </c>
      <c r="K17" s="131"/>
      <c r="L17" s="131"/>
      <c r="M17" s="246">
        <f>SUM(S6:S13)</f>
        <v>0</v>
      </c>
      <c r="N17" s="247"/>
      <c r="O17" s="247"/>
      <c r="P17" s="248"/>
      <c r="Q17" s="131" t="s">
        <v>19</v>
      </c>
      <c r="R17" s="139">
        <f>P14*2%</f>
        <v>348661.52500000002</v>
      </c>
      <c r="S17" s="139"/>
      <c r="T17" s="139"/>
      <c r="U17" s="133" t="s">
        <v>20</v>
      </c>
      <c r="V17" s="133"/>
      <c r="W17" s="259">
        <f>P14*8.33%</f>
        <v>1452175.251625</v>
      </c>
    </row>
    <row r="18" spans="1:23" ht="16.5" customHeight="1">
      <c r="A18" s="211"/>
      <c r="B18" s="212"/>
      <c r="C18" s="213"/>
      <c r="D18" s="131"/>
      <c r="E18" s="131"/>
      <c r="F18" s="131"/>
      <c r="G18" s="134"/>
      <c r="H18" s="134"/>
      <c r="I18" s="134"/>
      <c r="J18" s="131"/>
      <c r="K18" s="131"/>
      <c r="L18" s="131"/>
      <c r="M18" s="249"/>
      <c r="N18" s="250"/>
      <c r="O18" s="250"/>
      <c r="P18" s="251"/>
      <c r="Q18" s="131"/>
      <c r="R18" s="139"/>
      <c r="S18" s="139"/>
      <c r="T18" s="139"/>
      <c r="U18" s="133"/>
      <c r="V18" s="133"/>
      <c r="W18" s="133"/>
    </row>
    <row r="19" spans="1:23" ht="16.5" customHeight="1">
      <c r="A19" s="211"/>
      <c r="B19" s="212"/>
      <c r="C19" s="213"/>
      <c r="D19" s="131" t="s">
        <v>9</v>
      </c>
      <c r="E19" s="131"/>
      <c r="F19" s="131"/>
      <c r="G19" s="134">
        <f>SUM(H6:H13)</f>
        <v>406800</v>
      </c>
      <c r="H19" s="134"/>
      <c r="I19" s="134"/>
      <c r="J19" s="131" t="s">
        <v>12</v>
      </c>
      <c r="K19" s="131"/>
      <c r="L19" s="131"/>
      <c r="M19" s="246">
        <f>SUM(Q6:Q13)</f>
        <v>4086804.25</v>
      </c>
      <c r="N19" s="247"/>
      <c r="O19" s="247"/>
      <c r="P19" s="248"/>
      <c r="Q19" s="131" t="s">
        <v>21</v>
      </c>
      <c r="R19" s="139">
        <f>P14*3%</f>
        <v>522992.28749999998</v>
      </c>
      <c r="S19" s="139"/>
      <c r="T19" s="139"/>
      <c r="U19" s="133" t="s">
        <v>22</v>
      </c>
      <c r="V19" s="133"/>
      <c r="W19" s="259">
        <f>P14*8.33%</f>
        <v>1452175.251625</v>
      </c>
    </row>
    <row r="20" spans="1:23" ht="16.5" customHeight="1">
      <c r="A20" s="211"/>
      <c r="B20" s="212"/>
      <c r="C20" s="213"/>
      <c r="D20" s="131"/>
      <c r="E20" s="131"/>
      <c r="F20" s="131"/>
      <c r="G20" s="134"/>
      <c r="H20" s="134"/>
      <c r="I20" s="134"/>
      <c r="J20" s="131"/>
      <c r="K20" s="131"/>
      <c r="L20" s="131"/>
      <c r="M20" s="249"/>
      <c r="N20" s="250"/>
      <c r="O20" s="250"/>
      <c r="P20" s="251"/>
      <c r="Q20" s="131"/>
      <c r="R20" s="139"/>
      <c r="S20" s="139"/>
      <c r="T20" s="139"/>
      <c r="U20" s="133"/>
      <c r="V20" s="133"/>
      <c r="W20" s="133"/>
    </row>
    <row r="21" spans="1:23" ht="16.5" customHeight="1">
      <c r="A21" s="211"/>
      <c r="B21" s="212"/>
      <c r="C21" s="213"/>
      <c r="D21" s="131" t="s">
        <v>10</v>
      </c>
      <c r="E21" s="131"/>
      <c r="F21" s="131"/>
      <c r="G21" s="134">
        <f>SUM(J6:J13)</f>
        <v>0</v>
      </c>
      <c r="H21" s="134"/>
      <c r="I21" s="134"/>
      <c r="J21" s="131" t="s">
        <v>23</v>
      </c>
      <c r="K21" s="131"/>
      <c r="L21" s="131"/>
      <c r="M21" s="246">
        <f>SUM(R6:R13)</f>
        <v>809172</v>
      </c>
      <c r="N21" s="247"/>
      <c r="O21" s="247"/>
      <c r="P21" s="248"/>
      <c r="Q21" s="131" t="s">
        <v>24</v>
      </c>
      <c r="R21" s="258">
        <f>P14*4%</f>
        <v>697323.05</v>
      </c>
      <c r="S21" s="132"/>
      <c r="T21" s="132"/>
      <c r="U21" s="137" t="s">
        <v>25</v>
      </c>
      <c r="V21" s="137"/>
      <c r="W21" s="260">
        <f>P14*12%</f>
        <v>2091969.15</v>
      </c>
    </row>
    <row r="22" spans="1:23" ht="16.5" customHeight="1">
      <c r="A22" s="211"/>
      <c r="B22" s="212"/>
      <c r="C22" s="213"/>
      <c r="D22" s="131"/>
      <c r="E22" s="131"/>
      <c r="F22" s="131"/>
      <c r="G22" s="134"/>
      <c r="H22" s="134"/>
      <c r="I22" s="134"/>
      <c r="J22" s="131"/>
      <c r="K22" s="131"/>
      <c r="L22" s="131"/>
      <c r="M22" s="249"/>
      <c r="N22" s="250"/>
      <c r="O22" s="250"/>
      <c r="P22" s="251"/>
      <c r="Q22" s="131"/>
      <c r="R22" s="132"/>
      <c r="S22" s="132"/>
      <c r="T22" s="132"/>
      <c r="U22" s="137"/>
      <c r="V22" s="137"/>
      <c r="W22" s="134"/>
    </row>
    <row r="23" spans="1:23" ht="16.5" customHeight="1">
      <c r="A23" s="211"/>
      <c r="B23" s="212"/>
      <c r="C23" s="213"/>
      <c r="D23" s="112" t="s">
        <v>11</v>
      </c>
      <c r="E23" s="112"/>
      <c r="F23" s="112"/>
      <c r="G23" s="161">
        <f>SUM(L6:L13)</f>
        <v>26007.916666666672</v>
      </c>
      <c r="H23" s="161"/>
      <c r="I23" s="161"/>
      <c r="J23" s="131" t="s">
        <v>128</v>
      </c>
      <c r="K23" s="131"/>
      <c r="L23" s="131"/>
      <c r="M23" s="246">
        <f>SUM(T6:T13)</f>
        <v>170000</v>
      </c>
      <c r="N23" s="247"/>
      <c r="O23" s="247"/>
      <c r="P23" s="248"/>
      <c r="Q23" s="131" t="s">
        <v>12</v>
      </c>
      <c r="R23" s="258">
        <f>P14*12.5%</f>
        <v>2179134.53125</v>
      </c>
      <c r="S23" s="132"/>
      <c r="T23" s="132"/>
      <c r="U23" s="137"/>
      <c r="V23" s="137"/>
      <c r="W23" s="134"/>
    </row>
    <row r="24" spans="1:23" ht="16.5" customHeight="1">
      <c r="A24" s="211"/>
      <c r="B24" s="212"/>
      <c r="C24" s="213"/>
      <c r="D24" s="112"/>
      <c r="E24" s="112"/>
      <c r="F24" s="112"/>
      <c r="G24" s="161"/>
      <c r="H24" s="161"/>
      <c r="I24" s="161"/>
      <c r="J24" s="131"/>
      <c r="K24" s="131"/>
      <c r="L24" s="131"/>
      <c r="M24" s="249"/>
      <c r="N24" s="250"/>
      <c r="O24" s="250"/>
      <c r="P24" s="251"/>
      <c r="Q24" s="131"/>
      <c r="R24" s="132"/>
      <c r="S24" s="132"/>
      <c r="T24" s="132"/>
      <c r="U24" s="133" t="s">
        <v>27</v>
      </c>
      <c r="V24" s="133"/>
      <c r="W24" s="259">
        <f>P14*4.16%</f>
        <v>725215.97199999995</v>
      </c>
    </row>
    <row r="25" spans="1:23" ht="16.5" customHeight="1">
      <c r="A25" s="211"/>
      <c r="B25" s="212"/>
      <c r="C25" s="213"/>
      <c r="D25" s="112"/>
      <c r="E25" s="112"/>
      <c r="F25" s="112"/>
      <c r="G25" s="161"/>
      <c r="H25" s="161"/>
      <c r="I25" s="161"/>
      <c r="J25" s="131" t="s">
        <v>28</v>
      </c>
      <c r="K25" s="131"/>
      <c r="L25" s="131"/>
      <c r="M25" s="246">
        <f>SUM(U6:U13)</f>
        <v>422420</v>
      </c>
      <c r="N25" s="247"/>
      <c r="O25" s="247"/>
      <c r="P25" s="248"/>
      <c r="Q25" s="131" t="s">
        <v>23</v>
      </c>
      <c r="R25" s="258">
        <f>P14*16%</f>
        <v>2789292.2</v>
      </c>
      <c r="S25" s="132"/>
      <c r="T25" s="132"/>
      <c r="U25" s="133"/>
      <c r="V25" s="133"/>
      <c r="W25" s="133"/>
    </row>
    <row r="26" spans="1:23" ht="16.5" customHeight="1">
      <c r="A26" s="211"/>
      <c r="B26" s="212"/>
      <c r="C26" s="213"/>
      <c r="D26" s="131" t="s">
        <v>29</v>
      </c>
      <c r="E26" s="131"/>
      <c r="F26" s="131"/>
      <c r="G26" s="162">
        <f>SUM(G17:I25)</f>
        <v>17329607.916666668</v>
      </c>
      <c r="H26" s="162"/>
      <c r="I26" s="162"/>
      <c r="J26" s="131"/>
      <c r="K26" s="131"/>
      <c r="L26" s="131"/>
      <c r="M26" s="249"/>
      <c r="N26" s="250"/>
      <c r="O26" s="250"/>
      <c r="P26" s="251"/>
      <c r="Q26" s="131"/>
      <c r="R26" s="132"/>
      <c r="S26" s="132"/>
      <c r="T26" s="132"/>
      <c r="U26" s="133" t="s">
        <v>29</v>
      </c>
      <c r="V26" s="133"/>
      <c r="W26" s="259">
        <f>SUM(W17:W25)</f>
        <v>5721535.6252499996</v>
      </c>
    </row>
    <row r="27" spans="1:23" ht="16.5" customHeight="1">
      <c r="A27" s="214"/>
      <c r="B27" s="215"/>
      <c r="C27" s="216"/>
      <c r="D27" s="131"/>
      <c r="E27" s="131"/>
      <c r="F27" s="131"/>
      <c r="G27" s="162"/>
      <c r="H27" s="162"/>
      <c r="I27" s="162"/>
      <c r="J27" s="112" t="s">
        <v>29</v>
      </c>
      <c r="K27" s="112"/>
      <c r="L27" s="112"/>
      <c r="M27" s="252">
        <f>SUM(M17:P26)</f>
        <v>5488396.25</v>
      </c>
      <c r="N27" s="253"/>
      <c r="O27" s="253"/>
      <c r="P27" s="254"/>
      <c r="Q27" s="131" t="s">
        <v>29</v>
      </c>
      <c r="R27" s="258">
        <f>SUM(R17:T26)</f>
        <v>6537403.59375</v>
      </c>
      <c r="S27" s="132"/>
      <c r="T27" s="132"/>
      <c r="U27" s="133"/>
      <c r="V27" s="133"/>
      <c r="W27" s="133"/>
    </row>
    <row r="28" spans="1:23" ht="16.5">
      <c r="A28" s="9" t="s">
        <v>30</v>
      </c>
      <c r="B28" s="9"/>
      <c r="C28" s="9"/>
      <c r="D28" s="9" t="s">
        <v>31</v>
      </c>
      <c r="E28" s="9"/>
      <c r="F28" s="138"/>
      <c r="G28" s="138"/>
      <c r="H28" s="138"/>
      <c r="I28" s="138"/>
      <c r="J28" s="112"/>
      <c r="K28" s="112"/>
      <c r="L28" s="112"/>
      <c r="M28" s="255"/>
      <c r="N28" s="256"/>
      <c r="O28" s="256"/>
      <c r="P28" s="257"/>
      <c r="Q28" s="131"/>
      <c r="R28" s="132"/>
      <c r="S28" s="132"/>
      <c r="T28" s="132"/>
      <c r="U28" s="135" t="s">
        <v>32</v>
      </c>
      <c r="V28" s="135"/>
      <c r="W28" s="135"/>
    </row>
    <row r="31" spans="1:23" ht="27.75">
      <c r="C31" s="90" t="s">
        <v>108</v>
      </c>
      <c r="D31" s="91"/>
      <c r="E31" s="91"/>
      <c r="F31" s="91"/>
      <c r="G31" s="91"/>
      <c r="H31" s="91"/>
      <c r="I31" s="92"/>
    </row>
    <row r="32" spans="1:23" ht="16.5">
      <c r="C32" s="93" t="s">
        <v>109</v>
      </c>
      <c r="D32" s="85"/>
      <c r="E32" s="85"/>
      <c r="F32" s="85"/>
      <c r="G32" s="85"/>
      <c r="H32" s="86"/>
      <c r="I32" s="87"/>
    </row>
    <row r="33" spans="3:9" ht="16.5">
      <c r="C33" s="94" t="s">
        <v>110</v>
      </c>
      <c r="D33" s="86"/>
      <c r="E33" s="86"/>
      <c r="F33" s="86"/>
      <c r="G33" s="86"/>
      <c r="H33" s="86"/>
      <c r="I33" s="87"/>
    </row>
    <row r="34" spans="3:9" ht="16.5">
      <c r="C34" s="95" t="s">
        <v>111</v>
      </c>
      <c r="D34" s="88"/>
      <c r="E34" s="88"/>
      <c r="F34" s="88"/>
      <c r="G34" s="88"/>
      <c r="H34" s="88"/>
      <c r="I34" s="87"/>
    </row>
    <row r="35" spans="3:9" ht="16.5">
      <c r="C35" s="94" t="s">
        <v>112</v>
      </c>
      <c r="D35" s="86"/>
      <c r="E35" s="86"/>
      <c r="F35" s="86"/>
      <c r="G35" s="86"/>
      <c r="H35" s="86"/>
      <c r="I35" s="87"/>
    </row>
    <row r="36" spans="3:9" ht="16.5">
      <c r="C36" s="93" t="s">
        <v>113</v>
      </c>
      <c r="D36" s="85"/>
      <c r="E36" s="85"/>
      <c r="F36" s="85"/>
      <c r="G36" s="85"/>
      <c r="H36" s="85"/>
      <c r="I36" s="89"/>
    </row>
    <row r="37" spans="3:9" ht="16.5">
      <c r="C37" s="94"/>
      <c r="D37" s="86" t="s">
        <v>66</v>
      </c>
      <c r="E37" s="86"/>
      <c r="F37" s="86"/>
      <c r="G37" s="86"/>
      <c r="H37" s="86"/>
      <c r="I37" s="87"/>
    </row>
    <row r="38" spans="3:9" ht="16.5">
      <c r="C38" s="96" t="s">
        <v>114</v>
      </c>
      <c r="D38" s="85"/>
      <c r="E38" s="85"/>
      <c r="F38" s="85"/>
      <c r="G38" s="85"/>
      <c r="H38" s="85"/>
      <c r="I38" s="87"/>
    </row>
    <row r="39" spans="3:9" ht="16.5">
      <c r="C39" s="97" t="s">
        <v>115</v>
      </c>
      <c r="D39" s="98"/>
      <c r="E39" s="98"/>
      <c r="F39" s="98"/>
      <c r="G39" s="99"/>
      <c r="H39" s="99"/>
      <c r="I39" s="100"/>
    </row>
  </sheetData>
  <mergeCells count="66">
    <mergeCell ref="A4:A5"/>
    <mergeCell ref="B4:B5"/>
    <mergeCell ref="C4:C5"/>
    <mergeCell ref="D4:D5"/>
    <mergeCell ref="M17:P18"/>
    <mergeCell ref="M19:P20"/>
    <mergeCell ref="M21:P22"/>
    <mergeCell ref="M23:P24"/>
    <mergeCell ref="M25:P26"/>
    <mergeCell ref="A1:E3"/>
    <mergeCell ref="F1:M1"/>
    <mergeCell ref="N1:W3"/>
    <mergeCell ref="F2:M2"/>
    <mergeCell ref="F3:M3"/>
    <mergeCell ref="A15:C15"/>
    <mergeCell ref="D15:I16"/>
    <mergeCell ref="J15:P16"/>
    <mergeCell ref="Q15:T16"/>
    <mergeCell ref="U15:W16"/>
    <mergeCell ref="E4:E5"/>
    <mergeCell ref="F4:F5"/>
    <mergeCell ref="G4:N4"/>
    <mergeCell ref="O4:V4"/>
    <mergeCell ref="W4:W5"/>
    <mergeCell ref="A16:C27"/>
    <mergeCell ref="D17:F18"/>
    <mergeCell ref="G17:I18"/>
    <mergeCell ref="J17:L18"/>
    <mergeCell ref="G23:I25"/>
    <mergeCell ref="J23:L24"/>
    <mergeCell ref="M27:P28"/>
    <mergeCell ref="R17:T18"/>
    <mergeCell ref="U17:V18"/>
    <mergeCell ref="W17:W18"/>
    <mergeCell ref="D19:F20"/>
    <mergeCell ref="G19:I20"/>
    <mergeCell ref="J19:L20"/>
    <mergeCell ref="Q19:Q20"/>
    <mergeCell ref="R19:T20"/>
    <mergeCell ref="U19:V20"/>
    <mergeCell ref="Q17:Q18"/>
    <mergeCell ref="W19:W20"/>
    <mergeCell ref="D21:F22"/>
    <mergeCell ref="G21:I22"/>
    <mergeCell ref="J21:L22"/>
    <mergeCell ref="Q21:Q22"/>
    <mergeCell ref="R21:T22"/>
    <mergeCell ref="U21:V23"/>
    <mergeCell ref="W21:W23"/>
    <mergeCell ref="D23:F25"/>
    <mergeCell ref="Q23:Q24"/>
    <mergeCell ref="R23:T24"/>
    <mergeCell ref="U24:V25"/>
    <mergeCell ref="W24:W25"/>
    <mergeCell ref="J25:L26"/>
    <mergeCell ref="Q25:Q26"/>
    <mergeCell ref="R25:T26"/>
    <mergeCell ref="D26:F27"/>
    <mergeCell ref="G26:I27"/>
    <mergeCell ref="U26:V27"/>
    <mergeCell ref="W26:W27"/>
    <mergeCell ref="J27:L28"/>
    <mergeCell ref="Q27:Q28"/>
    <mergeCell ref="R27:T28"/>
    <mergeCell ref="F28:I28"/>
    <mergeCell ref="U28:W28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Nómina 1</vt:lpstr>
      <vt:lpstr>Nómina 2</vt:lpstr>
      <vt:lpstr>Nómina 3</vt:lpstr>
      <vt:lpstr>Nómina 4</vt:lpstr>
      <vt:lpstr>'Nómina 1'!Área_de_impresión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JORGEBUITRAGO</dc:creator>
  <cp:lastModifiedBy>NUBIA</cp:lastModifiedBy>
  <cp:revision>1</cp:revision>
  <cp:lastPrinted>2003-08-27T02:28:44Z</cp:lastPrinted>
  <dcterms:created xsi:type="dcterms:W3CDTF">2003-08-27T01:58:46Z</dcterms:created>
  <dcterms:modified xsi:type="dcterms:W3CDTF">2012-04-07T14:20:36Z</dcterms:modified>
</cp:coreProperties>
</file>